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codeName="ThisWorkbook" autoCompressPictures="0" defaultThemeVersion="124226"/>
  <mc:AlternateContent xmlns:mc="http://schemas.openxmlformats.org/markup-compatibility/2006">
    <mc:Choice Requires="x15">
      <x15ac:absPath xmlns:x15ac="http://schemas.microsoft.com/office/spreadsheetml/2010/11/ac" url="/Users/sharptj1/Downloads/"/>
    </mc:Choice>
  </mc:AlternateContent>
  <xr:revisionPtr revIDLastSave="0" documentId="8_{3643F966-7380-BE45-B78F-572FF639D4A6}" xr6:coauthVersionLast="47" xr6:coauthVersionMax="47" xr10:uidLastSave="{00000000-0000-0000-0000-000000000000}"/>
  <bookViews>
    <workbookView xWindow="0" yWindow="600" windowWidth="19420" windowHeight="10300" tabRatio="626" xr2:uid="{00000000-000D-0000-FFFF-FFFF00000000}"/>
  </bookViews>
  <sheets>
    <sheet name="Dashboard" sheetId="11" r:id="rId1"/>
    <sheet name="Kaplan Meier" sheetId="13" r:id="rId2"/>
    <sheet name="Outliers" sheetId="12" r:id="rId3"/>
    <sheet name="Settings" sheetId="15" r:id="rId4"/>
    <sheet name="Data Table" sheetId="5" r:id="rId5"/>
    <sheet name="Data qualifier notes" sheetId="7" r:id="rId6"/>
    <sheet name="Notes and Color and symbol KEY" sheetId="6" r:id="rId7"/>
  </sheets>
  <definedNames>
    <definedName name="_xlchart.v1.0" hidden="1">Settings!$D$2:$D$853</definedName>
    <definedName name="_xlchart.v5.1" hidden="1">Settings!$A$1:$B$1</definedName>
    <definedName name="_xlchart.v5.2" hidden="1">Settings!$A$2:$B$85</definedName>
    <definedName name="_xlchart.v5.3" hidden="1">Settings!$C$1</definedName>
    <definedName name="_xlchart.v5.4" hidden="1">Settings!$C$2:$C$79</definedName>
    <definedName name="ALL_DATA">Dashboard!$H$6:$H$857</definedName>
    <definedName name="BOXPLOT_DATA">Settings!$D$2:$D$853</definedName>
    <definedName name="COUNTY_DATA">Dashboard!$B$6:$B$857</definedName>
    <definedName name="DETECT_DATA">Dashboard!$I$6:$I$857</definedName>
    <definedName name="NCDEQ_LOGO">IF(Settings!$G$28,Settings!$H$28,Settings!$P$1:$P$17)</definedName>
    <definedName name="_xlnm.Print_Area" localSheetId="0">Dashboard!$K$2:$AB$41</definedName>
    <definedName name="RAW_DATA">Dashboard!$G$6:$G$857</definedName>
    <definedName name="SOIL_DEPTH">Settings!$G$26:$I$26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1" l="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6" i="11"/>
  <c r="I26" i="15"/>
  <c r="H26" i="15"/>
  <c r="G26" i="15"/>
  <c r="H10" i="15"/>
  <c r="G10" i="15" l="1"/>
  <c r="G11" i="15" s="1"/>
  <c r="B7" i="11" l="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G6" i="15" l="1"/>
  <c r="M39" i="11" s="1"/>
  <c r="G9" i="15" l="1"/>
  <c r="G22" i="15"/>
  <c r="O6" i="11" a="1"/>
  <c r="G3" i="15"/>
  <c r="O6" i="11" l="1"/>
  <c r="G12" i="15"/>
  <c r="W8" i="11" s="1"/>
  <c r="Q8" i="11" l="1"/>
  <c r="W15" i="11"/>
  <c r="T15" i="11"/>
  <c r="W11" i="11" l="1"/>
  <c r="G8" i="15" l="1"/>
  <c r="Q15" i="11"/>
  <c r="G7" i="15" l="1"/>
  <c r="G5" i="15"/>
  <c r="G2" i="15"/>
  <c r="D7" i="11" l="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E8" i="11"/>
  <c r="F9" i="11"/>
  <c r="E12" i="11"/>
  <c r="F13" i="11"/>
  <c r="E16" i="11"/>
  <c r="F17" i="11"/>
  <c r="E20" i="11"/>
  <c r="F21" i="11"/>
  <c r="E24" i="11"/>
  <c r="F25" i="11"/>
  <c r="E28" i="11"/>
  <c r="F29" i="11"/>
  <c r="E32" i="11"/>
  <c r="F33" i="11"/>
  <c r="E36" i="11"/>
  <c r="F37" i="11"/>
  <c r="E40" i="11"/>
  <c r="F41" i="11"/>
  <c r="E44" i="11"/>
  <c r="F45" i="11"/>
  <c r="E48" i="11"/>
  <c r="F49" i="11"/>
  <c r="E52" i="11"/>
  <c r="F53" i="11"/>
  <c r="E56" i="11"/>
  <c r="F57" i="11"/>
  <c r="E60" i="11"/>
  <c r="F61" i="11"/>
  <c r="E64" i="11"/>
  <c r="F65" i="11"/>
  <c r="E68" i="11"/>
  <c r="F69" i="11"/>
  <c r="E72" i="11"/>
  <c r="F73" i="11"/>
  <c r="E76" i="11"/>
  <c r="F77" i="11"/>
  <c r="E80" i="11"/>
  <c r="F81" i="11"/>
  <c r="E84" i="11"/>
  <c r="F85" i="11"/>
  <c r="E88" i="11"/>
  <c r="F89"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E7" i="11"/>
  <c r="F8" i="11"/>
  <c r="E11" i="11"/>
  <c r="F12" i="11"/>
  <c r="E15" i="11"/>
  <c r="F16" i="11"/>
  <c r="E19" i="11"/>
  <c r="F20" i="11"/>
  <c r="E23" i="11"/>
  <c r="F24" i="11"/>
  <c r="E27" i="11"/>
  <c r="F28" i="11"/>
  <c r="E31" i="11"/>
  <c r="F32" i="11"/>
  <c r="E35" i="11"/>
  <c r="F36" i="11"/>
  <c r="E39" i="11"/>
  <c r="F40" i="11"/>
  <c r="E43" i="11"/>
  <c r="F44" i="11"/>
  <c r="E47" i="11"/>
  <c r="F48" i="11"/>
  <c r="E51" i="11"/>
  <c r="F52" i="11"/>
  <c r="E55" i="11"/>
  <c r="F56" i="11"/>
  <c r="E59" i="11"/>
  <c r="F60" i="11"/>
  <c r="E63" i="11"/>
  <c r="F64" i="11"/>
  <c r="E67" i="11"/>
  <c r="F68" i="11"/>
  <c r="E71" i="11"/>
  <c r="F72" i="11"/>
  <c r="E75" i="11"/>
  <c r="F76" i="11"/>
  <c r="E79" i="11"/>
  <c r="F80" i="11"/>
  <c r="E83" i="11"/>
  <c r="F84" i="11"/>
  <c r="E87" i="11"/>
  <c r="F88"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9" i="11"/>
  <c r="E13" i="11"/>
  <c r="E17" i="11"/>
  <c r="E21" i="11"/>
  <c r="E25" i="11"/>
  <c r="E29" i="11"/>
  <c r="E33" i="11"/>
  <c r="E37" i="11"/>
  <c r="E41" i="11"/>
  <c r="E45" i="11"/>
  <c r="E49" i="11"/>
  <c r="E53" i="11"/>
  <c r="E57" i="11"/>
  <c r="E61" i="11"/>
  <c r="E65" i="11"/>
  <c r="E69" i="11"/>
  <c r="E73" i="11"/>
  <c r="E77" i="11"/>
  <c r="E81" i="11"/>
  <c r="E85" i="11"/>
  <c r="E89" i="11"/>
  <c r="D124" i="11"/>
  <c r="F125" i="11"/>
  <c r="D128" i="11"/>
  <c r="F129" i="11"/>
  <c r="D132" i="11"/>
  <c r="F133" i="11"/>
  <c r="D136" i="11"/>
  <c r="F137" i="11"/>
  <c r="D140" i="11"/>
  <c r="F141" i="11"/>
  <c r="D144" i="11"/>
  <c r="F145" i="11"/>
  <c r="D148" i="11"/>
  <c r="F149" i="11"/>
  <c r="D152" i="11"/>
  <c r="F153" i="11"/>
  <c r="D156" i="11"/>
  <c r="F157" i="11"/>
  <c r="D160" i="11"/>
  <c r="F161" i="11"/>
  <c r="D164" i="11"/>
  <c r="F165" i="11"/>
  <c r="D168" i="11"/>
  <c r="F169" i="11"/>
  <c r="D172" i="11"/>
  <c r="F173" i="11"/>
  <c r="D176" i="11"/>
  <c r="F177" i="11"/>
  <c r="D180" i="11"/>
  <c r="F181" i="11"/>
  <c r="D184" i="11"/>
  <c r="F185" i="11"/>
  <c r="D188" i="11"/>
  <c r="F189" i="11"/>
  <c r="D192" i="11"/>
  <c r="F193" i="11"/>
  <c r="D196" i="11"/>
  <c r="F197" i="11"/>
  <c r="D200" i="11"/>
  <c r="F201" i="11"/>
  <c r="D204" i="11"/>
  <c r="F205" i="11"/>
  <c r="D208" i="11"/>
  <c r="F209" i="11"/>
  <c r="D212" i="11"/>
  <c r="F213" i="11"/>
  <c r="D216" i="11"/>
  <c r="F217" i="11"/>
  <c r="D360" i="11"/>
  <c r="D405" i="11"/>
  <c r="D408" i="11"/>
  <c r="D410" i="11"/>
  <c r="D412" i="11"/>
  <c r="D414" i="11"/>
  <c r="D416" i="11"/>
  <c r="D418" i="11"/>
  <c r="D420" i="11"/>
  <c r="D421" i="11"/>
  <c r="D423" i="11"/>
  <c r="D425" i="11"/>
  <c r="D427" i="11"/>
  <c r="D429" i="11"/>
  <c r="D431" i="11"/>
  <c r="D433" i="11"/>
  <c r="F7" i="11"/>
  <c r="F11" i="11"/>
  <c r="F15" i="11"/>
  <c r="F19" i="11"/>
  <c r="F23" i="11"/>
  <c r="F27" i="11"/>
  <c r="F31" i="11"/>
  <c r="F35" i="11"/>
  <c r="F39" i="11"/>
  <c r="F43" i="11"/>
  <c r="F47" i="11"/>
  <c r="F51" i="11"/>
  <c r="F55" i="11"/>
  <c r="F59" i="11"/>
  <c r="F63" i="11"/>
  <c r="F67" i="11"/>
  <c r="F71" i="11"/>
  <c r="F75" i="11"/>
  <c r="F79" i="11"/>
  <c r="F83" i="11"/>
  <c r="F87" i="11"/>
  <c r="F91" i="11"/>
  <c r="F93" i="11"/>
  <c r="F95" i="11"/>
  <c r="F97" i="11"/>
  <c r="F99" i="11"/>
  <c r="F101" i="11"/>
  <c r="F103" i="11"/>
  <c r="F105" i="11"/>
  <c r="F107" i="11"/>
  <c r="F109" i="11"/>
  <c r="F111" i="11"/>
  <c r="F113" i="11"/>
  <c r="F115" i="11"/>
  <c r="F117" i="11"/>
  <c r="F119" i="11"/>
  <c r="F121" i="11"/>
  <c r="D123" i="11"/>
  <c r="F124" i="11"/>
  <c r="D127" i="11"/>
  <c r="F128" i="11"/>
  <c r="D131" i="11"/>
  <c r="F132" i="11"/>
  <c r="D135" i="11"/>
  <c r="F136" i="11"/>
  <c r="D139" i="11"/>
  <c r="F140" i="11"/>
  <c r="D143" i="11"/>
  <c r="F144" i="11"/>
  <c r="D147" i="11"/>
  <c r="F148" i="11"/>
  <c r="D151" i="11"/>
  <c r="F152" i="11"/>
  <c r="D155" i="11"/>
  <c r="F156" i="11"/>
  <c r="D159" i="11"/>
  <c r="F160" i="11"/>
  <c r="D163" i="11"/>
  <c r="F164" i="11"/>
  <c r="D167" i="11"/>
  <c r="F168" i="11"/>
  <c r="D171" i="11"/>
  <c r="F172" i="11"/>
  <c r="D175" i="11"/>
  <c r="F176" i="11"/>
  <c r="D179" i="11"/>
  <c r="F180" i="11"/>
  <c r="D183" i="11"/>
  <c r="F184" i="11"/>
  <c r="D187" i="11"/>
  <c r="F188" i="11"/>
  <c r="D191" i="11"/>
  <c r="F192" i="11"/>
  <c r="D195" i="11"/>
  <c r="F196" i="11"/>
  <c r="D199" i="11"/>
  <c r="F200" i="11"/>
  <c r="D203" i="11"/>
  <c r="F204" i="11"/>
  <c r="D207" i="11"/>
  <c r="F208" i="11"/>
  <c r="D211" i="11"/>
  <c r="F212" i="11"/>
  <c r="D215" i="11"/>
  <c r="F216"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6" i="11"/>
  <c r="D407" i="11"/>
  <c r="D409" i="11"/>
  <c r="D411" i="11"/>
  <c r="D413" i="11"/>
  <c r="D415" i="11"/>
  <c r="D417" i="11"/>
  <c r="D419" i="11"/>
  <c r="D422" i="11"/>
  <c r="D424" i="11"/>
  <c r="D426" i="11"/>
  <c r="D428" i="11"/>
  <c r="D430" i="11"/>
  <c r="D432" i="11"/>
  <c r="D434" i="11"/>
  <c r="D435" i="11"/>
  <c r="F10" i="11"/>
  <c r="F18" i="11"/>
  <c r="F26" i="11"/>
  <c r="F34" i="11"/>
  <c r="F42" i="11"/>
  <c r="F50" i="11"/>
  <c r="F58" i="11"/>
  <c r="F66" i="11"/>
  <c r="F74" i="11"/>
  <c r="F82" i="11"/>
  <c r="F90" i="11"/>
  <c r="F98" i="11"/>
  <c r="F106" i="11"/>
  <c r="F114" i="11"/>
  <c r="F122" i="11"/>
  <c r="F126" i="11"/>
  <c r="F130" i="11"/>
  <c r="F134" i="11"/>
  <c r="F138" i="11"/>
  <c r="F142" i="11"/>
  <c r="F146" i="11"/>
  <c r="F150" i="11"/>
  <c r="F154" i="11"/>
  <c r="F158" i="11"/>
  <c r="F162" i="11"/>
  <c r="F166" i="11"/>
  <c r="F170" i="11"/>
  <c r="F174" i="11"/>
  <c r="F178" i="11"/>
  <c r="F182" i="11"/>
  <c r="F186" i="11"/>
  <c r="F190" i="11"/>
  <c r="F194" i="11"/>
  <c r="F198" i="11"/>
  <c r="F202" i="11"/>
  <c r="F206" i="11"/>
  <c r="F210" i="11"/>
  <c r="F214" i="11"/>
  <c r="F218" i="11"/>
  <c r="E221" i="11"/>
  <c r="F222" i="11"/>
  <c r="E225" i="11"/>
  <c r="F226" i="11"/>
  <c r="E229" i="11"/>
  <c r="F230" i="11"/>
  <c r="E233" i="11"/>
  <c r="F234" i="11"/>
  <c r="E237" i="11"/>
  <c r="F238" i="11"/>
  <c r="E241" i="11"/>
  <c r="F242" i="11"/>
  <c r="E245" i="11"/>
  <c r="F246" i="11"/>
  <c r="E249" i="11"/>
  <c r="F250" i="11"/>
  <c r="E253" i="11"/>
  <c r="F254" i="11"/>
  <c r="E257" i="11"/>
  <c r="F258" i="11"/>
  <c r="E261" i="11"/>
  <c r="F262" i="11"/>
  <c r="E265" i="11"/>
  <c r="F266" i="11"/>
  <c r="E269" i="11"/>
  <c r="F270" i="11"/>
  <c r="E273" i="11"/>
  <c r="F274" i="11"/>
  <c r="E277" i="11"/>
  <c r="F278" i="11"/>
  <c r="E281" i="11"/>
  <c r="F282" i="11"/>
  <c r="E285" i="11"/>
  <c r="F286" i="11"/>
  <c r="E289" i="11"/>
  <c r="F290" i="11"/>
  <c r="E293" i="11"/>
  <c r="F294" i="11"/>
  <c r="E297" i="11"/>
  <c r="F298" i="11"/>
  <c r="E301" i="11"/>
  <c r="F302" i="11"/>
  <c r="E305" i="11"/>
  <c r="F306" i="11"/>
  <c r="E309" i="11"/>
  <c r="F310" i="11"/>
  <c r="E313" i="11"/>
  <c r="F314" i="11"/>
  <c r="E317" i="11"/>
  <c r="F318" i="11"/>
  <c r="E321" i="11"/>
  <c r="F322" i="11"/>
  <c r="E325" i="11"/>
  <c r="F326" i="11"/>
  <c r="E329" i="11"/>
  <c r="F330" i="11"/>
  <c r="E333" i="11"/>
  <c r="F334" i="11"/>
  <c r="E337" i="11"/>
  <c r="F338" i="11"/>
  <c r="E341" i="11"/>
  <c r="F342" i="11"/>
  <c r="E345" i="11"/>
  <c r="F346" i="11"/>
  <c r="E349" i="11"/>
  <c r="F350" i="11"/>
  <c r="E353" i="11"/>
  <c r="F354" i="11"/>
  <c r="E357" i="11"/>
  <c r="F358" i="11"/>
  <c r="E361" i="11"/>
  <c r="F362" i="11"/>
  <c r="E365" i="11"/>
  <c r="F366" i="11"/>
  <c r="E369" i="11"/>
  <c r="F370" i="11"/>
  <c r="E373" i="11"/>
  <c r="F374" i="11"/>
  <c r="E377" i="11"/>
  <c r="F378" i="11"/>
  <c r="E381" i="11"/>
  <c r="F382" i="11"/>
  <c r="E385" i="11"/>
  <c r="F386" i="11"/>
  <c r="E389" i="11"/>
  <c r="F390" i="11"/>
  <c r="E393" i="11"/>
  <c r="F394" i="11"/>
  <c r="E397" i="11"/>
  <c r="F398" i="11"/>
  <c r="E401" i="11"/>
  <c r="F402" i="11"/>
  <c r="E405" i="11"/>
  <c r="F406" i="11"/>
  <c r="E409" i="11"/>
  <c r="F410" i="11"/>
  <c r="E413" i="11"/>
  <c r="F414" i="11"/>
  <c r="E417" i="11"/>
  <c r="F418" i="11"/>
  <c r="E421" i="11"/>
  <c r="F422" i="11"/>
  <c r="E425" i="11"/>
  <c r="F426" i="11"/>
  <c r="E429" i="11"/>
  <c r="F430" i="11"/>
  <c r="E433" i="11"/>
  <c r="F434" i="11"/>
  <c r="E14" i="11"/>
  <c r="E22" i="11"/>
  <c r="E30" i="11"/>
  <c r="E38" i="11"/>
  <c r="E46" i="11"/>
  <c r="E54" i="11"/>
  <c r="E62" i="11"/>
  <c r="E70" i="11"/>
  <c r="E78" i="11"/>
  <c r="E86" i="11"/>
  <c r="F96" i="11"/>
  <c r="F104" i="11"/>
  <c r="F112" i="11"/>
  <c r="F120" i="11"/>
  <c r="D125" i="11"/>
  <c r="D129" i="11"/>
  <c r="D133" i="11"/>
  <c r="D137" i="11"/>
  <c r="D141" i="11"/>
  <c r="D145" i="11"/>
  <c r="D149" i="11"/>
  <c r="D153" i="11"/>
  <c r="D157" i="11"/>
  <c r="D161" i="11"/>
  <c r="D165" i="11"/>
  <c r="D169" i="11"/>
  <c r="D173" i="11"/>
  <c r="D177" i="11"/>
  <c r="D181" i="11"/>
  <c r="D185" i="11"/>
  <c r="D189" i="11"/>
  <c r="D193" i="11"/>
  <c r="D197" i="11"/>
  <c r="D201" i="11"/>
  <c r="D205" i="11"/>
  <c r="D209" i="11"/>
  <c r="D213" i="11"/>
  <c r="D217" i="11"/>
  <c r="E220" i="11"/>
  <c r="F221" i="11"/>
  <c r="E224" i="11"/>
  <c r="F225" i="11"/>
  <c r="E228" i="11"/>
  <c r="F229" i="11"/>
  <c r="E232" i="11"/>
  <c r="F233" i="11"/>
  <c r="E236" i="11"/>
  <c r="F237" i="11"/>
  <c r="E240" i="11"/>
  <c r="F241" i="11"/>
  <c r="E244" i="11"/>
  <c r="F245" i="11"/>
  <c r="E248" i="11"/>
  <c r="F249" i="11"/>
  <c r="E252" i="11"/>
  <c r="F253" i="11"/>
  <c r="E256" i="11"/>
  <c r="F257" i="11"/>
  <c r="E260" i="11"/>
  <c r="F261" i="11"/>
  <c r="E264" i="11"/>
  <c r="F265" i="11"/>
  <c r="E268" i="11"/>
  <c r="F269" i="11"/>
  <c r="E272" i="11"/>
  <c r="F273" i="11"/>
  <c r="E276" i="11"/>
  <c r="F277" i="11"/>
  <c r="E280" i="11"/>
  <c r="F281" i="11"/>
  <c r="E284" i="11"/>
  <c r="F285" i="11"/>
  <c r="E288" i="11"/>
  <c r="F289" i="11"/>
  <c r="E292" i="11"/>
  <c r="F293" i="11"/>
  <c r="E296" i="11"/>
  <c r="F297" i="11"/>
  <c r="E300" i="11"/>
  <c r="F301" i="11"/>
  <c r="E304" i="11"/>
  <c r="F305" i="11"/>
  <c r="E308" i="11"/>
  <c r="F309" i="11"/>
  <c r="E312" i="11"/>
  <c r="F313" i="11"/>
  <c r="E316" i="11"/>
  <c r="F317" i="11"/>
  <c r="E320" i="11"/>
  <c r="F321" i="11"/>
  <c r="E324" i="11"/>
  <c r="F325" i="11"/>
  <c r="E328" i="11"/>
  <c r="F329" i="11"/>
  <c r="E332" i="11"/>
  <c r="F333" i="11"/>
  <c r="E336" i="11"/>
  <c r="F337" i="11"/>
  <c r="E340" i="11"/>
  <c r="F341" i="11"/>
  <c r="E344" i="11"/>
  <c r="F345" i="11"/>
  <c r="E348" i="11"/>
  <c r="F349" i="11"/>
  <c r="E352" i="11"/>
  <c r="F353" i="11"/>
  <c r="E356" i="11"/>
  <c r="F357" i="11"/>
  <c r="E360" i="11"/>
  <c r="F361" i="11"/>
  <c r="E364" i="11"/>
  <c r="F365" i="11"/>
  <c r="E368" i="11"/>
  <c r="F369" i="11"/>
  <c r="E372" i="11"/>
  <c r="F373" i="11"/>
  <c r="E376" i="11"/>
  <c r="F377" i="11"/>
  <c r="E380" i="11"/>
  <c r="F381" i="11"/>
  <c r="E384" i="11"/>
  <c r="F385" i="11"/>
  <c r="E388" i="11"/>
  <c r="F389" i="11"/>
  <c r="E392" i="11"/>
  <c r="F393" i="11"/>
  <c r="E396" i="11"/>
  <c r="F397" i="11"/>
  <c r="E400" i="11"/>
  <c r="F401" i="11"/>
  <c r="E404" i="11"/>
  <c r="F405" i="11"/>
  <c r="E408" i="11"/>
  <c r="F409" i="11"/>
  <c r="E412" i="11"/>
  <c r="F413" i="11"/>
  <c r="E416" i="11"/>
  <c r="F417" i="11"/>
  <c r="E420" i="11"/>
  <c r="F421" i="11"/>
  <c r="E424" i="11"/>
  <c r="F425" i="11"/>
  <c r="E428" i="11"/>
  <c r="F429" i="11"/>
  <c r="E432" i="11"/>
  <c r="F433"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E10" i="11"/>
  <c r="E26" i="11"/>
  <c r="E42" i="11"/>
  <c r="E58" i="11"/>
  <c r="E74" i="11"/>
  <c r="E90" i="11"/>
  <c r="F102" i="11"/>
  <c r="F118" i="11"/>
  <c r="F127" i="11"/>
  <c r="D130" i="11"/>
  <c r="F135" i="11"/>
  <c r="D138" i="11"/>
  <c r="F143" i="11"/>
  <c r="D146" i="11"/>
  <c r="F151" i="11"/>
  <c r="D154" i="11"/>
  <c r="F159" i="11"/>
  <c r="D162" i="11"/>
  <c r="F167" i="11"/>
  <c r="D170" i="11"/>
  <c r="F175" i="11"/>
  <c r="D178" i="11"/>
  <c r="F183" i="11"/>
  <c r="D186" i="11"/>
  <c r="F191" i="11"/>
  <c r="D194" i="11"/>
  <c r="F199" i="11"/>
  <c r="D202" i="11"/>
  <c r="F207" i="11"/>
  <c r="D210" i="11"/>
  <c r="F215" i="11"/>
  <c r="D218" i="11"/>
  <c r="E222" i="11"/>
  <c r="E226" i="11"/>
  <c r="E230" i="11"/>
  <c r="E234" i="11"/>
  <c r="E238" i="11"/>
  <c r="E242" i="11"/>
  <c r="E246" i="11"/>
  <c r="E250" i="11"/>
  <c r="E254" i="11"/>
  <c r="E258" i="11"/>
  <c r="E262" i="11"/>
  <c r="E266" i="11"/>
  <c r="E270" i="11"/>
  <c r="E274" i="11"/>
  <c r="E278" i="11"/>
  <c r="E282" i="11"/>
  <c r="E286" i="11"/>
  <c r="E290" i="11"/>
  <c r="E294" i="11"/>
  <c r="E298" i="11"/>
  <c r="E302" i="11"/>
  <c r="E306" i="11"/>
  <c r="E310" i="11"/>
  <c r="E314" i="11"/>
  <c r="E318" i="11"/>
  <c r="E322" i="11"/>
  <c r="E326" i="11"/>
  <c r="E330" i="11"/>
  <c r="E334" i="11"/>
  <c r="E338" i="11"/>
  <c r="E342" i="11"/>
  <c r="E346" i="11"/>
  <c r="E350" i="11"/>
  <c r="E354" i="11"/>
  <c r="E358" i="11"/>
  <c r="E362" i="11"/>
  <c r="E366" i="11"/>
  <c r="E370" i="11"/>
  <c r="E374" i="11"/>
  <c r="E378" i="11"/>
  <c r="E382" i="11"/>
  <c r="E386" i="11"/>
  <c r="E390" i="11"/>
  <c r="E394" i="11"/>
  <c r="E398" i="11"/>
  <c r="E402" i="11"/>
  <c r="E406" i="11"/>
  <c r="E410" i="11"/>
  <c r="E414" i="11"/>
  <c r="E418" i="11"/>
  <c r="E422" i="11"/>
  <c r="E426" i="11"/>
  <c r="E430" i="11"/>
  <c r="E434" i="11"/>
  <c r="E437" i="11"/>
  <c r="F438" i="11"/>
  <c r="E441" i="11"/>
  <c r="F442" i="11"/>
  <c r="E445" i="11"/>
  <c r="F446" i="11"/>
  <c r="E449" i="11"/>
  <c r="F450" i="11"/>
  <c r="E453" i="11"/>
  <c r="F454" i="11"/>
  <c r="E457" i="11"/>
  <c r="F458" i="11"/>
  <c r="E461" i="11"/>
  <c r="F462" i="11"/>
  <c r="E465" i="11"/>
  <c r="F466" i="11"/>
  <c r="E469" i="11"/>
  <c r="F470" i="11"/>
  <c r="E473" i="11"/>
  <c r="F474" i="11"/>
  <c r="E477" i="11"/>
  <c r="F478" i="11"/>
  <c r="E481" i="11"/>
  <c r="F482" i="11"/>
  <c r="F116" i="11"/>
  <c r="F220" i="11"/>
  <c r="F224" i="11"/>
  <c r="F228" i="11"/>
  <c r="F232" i="11"/>
  <c r="F236" i="11"/>
  <c r="F240" i="11"/>
  <c r="F244" i="11"/>
  <c r="F252" i="11"/>
  <c r="F256" i="11"/>
  <c r="F260" i="11"/>
  <c r="F264" i="11"/>
  <c r="F268" i="11"/>
  <c r="F276" i="11"/>
  <c r="F280" i="11"/>
  <c r="F288" i="11"/>
  <c r="F292" i="11"/>
  <c r="F300" i="11"/>
  <c r="F304" i="11"/>
  <c r="F308" i="11"/>
  <c r="F316" i="11"/>
  <c r="F324" i="11"/>
  <c r="F328" i="11"/>
  <c r="F332" i="11"/>
  <c r="F340" i="11"/>
  <c r="F344" i="11"/>
  <c r="F352" i="11"/>
  <c r="F356" i="11"/>
  <c r="F360" i="11"/>
  <c r="F368" i="11"/>
  <c r="F372" i="11"/>
  <c r="F376" i="11"/>
  <c r="F384" i="11"/>
  <c r="F388" i="11"/>
  <c r="F400" i="11"/>
  <c r="F404" i="11"/>
  <c r="F408" i="11"/>
  <c r="F416" i="11"/>
  <c r="F420" i="11"/>
  <c r="F428" i="11"/>
  <c r="F432" i="11"/>
  <c r="F437" i="11"/>
  <c r="F441" i="11"/>
  <c r="E444" i="11"/>
  <c r="E448" i="11"/>
  <c r="E452" i="11"/>
  <c r="E456" i="11"/>
  <c r="E460" i="11"/>
  <c r="E464" i="11"/>
  <c r="E468" i="11"/>
  <c r="E472" i="11"/>
  <c r="E476" i="11"/>
  <c r="E480" i="11"/>
  <c r="F481" i="11"/>
  <c r="D485" i="11"/>
  <c r="D487" i="11"/>
  <c r="D489" i="11"/>
  <c r="D491" i="11"/>
  <c r="D493" i="11"/>
  <c r="D495" i="11"/>
  <c r="F14" i="11"/>
  <c r="F30" i="11"/>
  <c r="F46" i="11"/>
  <c r="F62" i="11"/>
  <c r="F78" i="11"/>
  <c r="F100" i="11"/>
  <c r="F248" i="11"/>
  <c r="F272" i="11"/>
  <c r="F284" i="11"/>
  <c r="F296" i="11"/>
  <c r="F312" i="11"/>
  <c r="F320" i="11"/>
  <c r="F336" i="11"/>
  <c r="F348" i="11"/>
  <c r="F364" i="11"/>
  <c r="F380" i="11"/>
  <c r="F392" i="11"/>
  <c r="F396" i="11"/>
  <c r="F412" i="11"/>
  <c r="F424" i="11"/>
  <c r="E436" i="11"/>
  <c r="E440" i="11"/>
  <c r="F445" i="11"/>
  <c r="F449" i="11"/>
  <c r="F453" i="11"/>
  <c r="F457" i="11"/>
  <c r="F461" i="11"/>
  <c r="F465" i="11"/>
  <c r="F469" i="11"/>
  <c r="F473" i="11"/>
  <c r="F477" i="11"/>
  <c r="D484" i="11"/>
  <c r="D486" i="11"/>
  <c r="D488" i="11"/>
  <c r="D490" i="11"/>
  <c r="D492" i="11"/>
  <c r="D494" i="11"/>
  <c r="D496" i="11"/>
  <c r="E18" i="11"/>
  <c r="E50" i="11"/>
  <c r="E82" i="11"/>
  <c r="F92" i="11"/>
  <c r="F219" i="11"/>
  <c r="F227" i="11"/>
  <c r="F235" i="11"/>
  <c r="F243" i="11"/>
  <c r="F251" i="11"/>
  <c r="F259" i="11"/>
  <c r="F267" i="11"/>
  <c r="F275" i="11"/>
  <c r="F283" i="11"/>
  <c r="F291" i="11"/>
  <c r="F299" i="11"/>
  <c r="F307" i="11"/>
  <c r="F315" i="11"/>
  <c r="F323" i="11"/>
  <c r="F331" i="11"/>
  <c r="F339" i="11"/>
  <c r="F347" i="11"/>
  <c r="F355" i="11"/>
  <c r="F363" i="11"/>
  <c r="F371" i="11"/>
  <c r="F379" i="11"/>
  <c r="F387" i="11"/>
  <c r="F395" i="11"/>
  <c r="F403" i="11"/>
  <c r="F411" i="11"/>
  <c r="F419" i="11"/>
  <c r="F427" i="11"/>
  <c r="F435" i="11"/>
  <c r="F439" i="11"/>
  <c r="F443" i="11"/>
  <c r="F447" i="11"/>
  <c r="F451" i="11"/>
  <c r="F455" i="11"/>
  <c r="F459" i="11"/>
  <c r="F463" i="11"/>
  <c r="F467" i="11"/>
  <c r="F471" i="11"/>
  <c r="F475" i="11"/>
  <c r="F479" i="11"/>
  <c r="F483" i="11"/>
  <c r="E486" i="11"/>
  <c r="F487" i="11"/>
  <c r="E490" i="11"/>
  <c r="F491" i="11"/>
  <c r="E494" i="11"/>
  <c r="F495" i="11"/>
  <c r="D623" i="11"/>
  <c r="D641" i="11"/>
  <c r="D644" i="11"/>
  <c r="D646" i="11"/>
  <c r="D648" i="11"/>
  <c r="D650" i="11"/>
  <c r="D651" i="11"/>
  <c r="D653" i="11"/>
  <c r="D655" i="11"/>
  <c r="D658" i="11"/>
  <c r="D660" i="11"/>
  <c r="D662" i="11"/>
  <c r="D664" i="11"/>
  <c r="D666" i="11"/>
  <c r="D667" i="11"/>
  <c r="D670" i="11"/>
  <c r="D672" i="11"/>
  <c r="D674" i="11"/>
  <c r="D676" i="11"/>
  <c r="D678" i="11"/>
  <c r="D680" i="11"/>
  <c r="D682" i="11"/>
  <c r="D683" i="11"/>
  <c r="D685" i="11"/>
  <c r="D687" i="11"/>
  <c r="D689" i="11"/>
  <c r="D691" i="11"/>
  <c r="D694" i="11"/>
  <c r="D696" i="11"/>
  <c r="D697" i="11"/>
  <c r="D699" i="11"/>
  <c r="D701" i="11"/>
  <c r="D703" i="11"/>
  <c r="D705" i="11"/>
  <c r="D707" i="11"/>
  <c r="D709" i="11"/>
  <c r="D711" i="11"/>
  <c r="D712" i="11"/>
  <c r="D714" i="11"/>
  <c r="D716" i="11"/>
  <c r="D718" i="11"/>
  <c r="D720" i="11"/>
  <c r="D722" i="11"/>
  <c r="D724" i="11"/>
  <c r="D726" i="11"/>
  <c r="D727" i="11"/>
  <c r="D729" i="11"/>
  <c r="D731" i="11"/>
  <c r="D733" i="11"/>
  <c r="D735" i="11"/>
  <c r="D737" i="11"/>
  <c r="D739" i="11"/>
  <c r="D740" i="11"/>
  <c r="D742" i="11"/>
  <c r="D744" i="11"/>
  <c r="D746" i="11"/>
  <c r="D748" i="11"/>
  <c r="D750" i="11"/>
  <c r="D752" i="11"/>
  <c r="D754" i="11"/>
  <c r="D756" i="11"/>
  <c r="D758" i="11"/>
  <c r="D759" i="11"/>
  <c r="D761" i="11"/>
  <c r="D763" i="11"/>
  <c r="D765" i="11"/>
  <c r="D767" i="11"/>
  <c r="D769" i="11"/>
  <c r="D771" i="11"/>
  <c r="D773" i="11"/>
  <c r="D775" i="11"/>
  <c r="D777" i="11"/>
  <c r="D779" i="11"/>
  <c r="D781" i="11"/>
  <c r="D783" i="11"/>
  <c r="D785" i="11"/>
  <c r="D786" i="11"/>
  <c r="D788" i="11"/>
  <c r="D790" i="11"/>
  <c r="D792" i="11"/>
  <c r="D794" i="11"/>
  <c r="D796" i="11"/>
  <c r="D798" i="11"/>
  <c r="D800" i="11"/>
  <c r="D802" i="11"/>
  <c r="D804" i="11"/>
  <c r="D806" i="11"/>
  <c r="D808" i="11"/>
  <c r="D810" i="11"/>
  <c r="D812" i="11"/>
  <c r="D813" i="11"/>
  <c r="D815" i="11"/>
  <c r="D817" i="11"/>
  <c r="D819" i="11"/>
  <c r="D821" i="11"/>
  <c r="D823" i="11"/>
  <c r="D825" i="11"/>
  <c r="D827" i="11"/>
  <c r="D828" i="11"/>
  <c r="D830" i="11"/>
  <c r="D832" i="11"/>
  <c r="D834" i="11"/>
  <c r="D836" i="11"/>
  <c r="D838" i="11"/>
  <c r="D840" i="11"/>
  <c r="D842" i="11"/>
  <c r="D844" i="11"/>
  <c r="D845" i="11"/>
  <c r="D847" i="11"/>
  <c r="D849" i="11"/>
  <c r="D851" i="11"/>
  <c r="D853" i="11"/>
  <c r="D855" i="11"/>
  <c r="D857" i="11"/>
  <c r="E34" i="11"/>
  <c r="E66" i="11"/>
  <c r="F223" i="11"/>
  <c r="F239" i="11"/>
  <c r="F255" i="11"/>
  <c r="F271" i="11"/>
  <c r="F287" i="11"/>
  <c r="F303" i="11"/>
  <c r="F319" i="11"/>
  <c r="F335" i="11"/>
  <c r="F359" i="11"/>
  <c r="F375" i="11"/>
  <c r="F391" i="11"/>
  <c r="F407" i="11"/>
  <c r="F423" i="11"/>
  <c r="F436" i="11"/>
  <c r="F444" i="11"/>
  <c r="F452" i="11"/>
  <c r="F460" i="11"/>
  <c r="F468" i="11"/>
  <c r="F476" i="11"/>
  <c r="E484" i="11"/>
  <c r="E488" i="11"/>
  <c r="E492" i="11"/>
  <c r="E496" i="11"/>
  <c r="E498" i="11"/>
  <c r="E500" i="11"/>
  <c r="E502" i="11"/>
  <c r="E504" i="11"/>
  <c r="E506" i="11"/>
  <c r="E508" i="11"/>
  <c r="E510" i="11"/>
  <c r="E512" i="11"/>
  <c r="E514" i="11"/>
  <c r="E516" i="11"/>
  <c r="E518" i="11"/>
  <c r="E520" i="11"/>
  <c r="E523" i="11"/>
  <c r="E525" i="11"/>
  <c r="E527" i="11"/>
  <c r="E529" i="11"/>
  <c r="E531" i="11"/>
  <c r="E534" i="11"/>
  <c r="E536" i="11"/>
  <c r="E538" i="11"/>
  <c r="E540" i="11"/>
  <c r="E542" i="11"/>
  <c r="E544" i="11"/>
  <c r="E546" i="11"/>
  <c r="E548" i="11"/>
  <c r="E550" i="11"/>
  <c r="E552" i="11"/>
  <c r="E554" i="11"/>
  <c r="E556" i="11"/>
  <c r="E558" i="11"/>
  <c r="E559" i="11"/>
  <c r="E562" i="11"/>
  <c r="E564" i="11"/>
  <c r="E566" i="11"/>
  <c r="E568" i="11"/>
  <c r="E570" i="11"/>
  <c r="E572" i="11"/>
  <c r="E574" i="11"/>
  <c r="E576" i="11"/>
  <c r="E578" i="11"/>
  <c r="E580" i="11"/>
  <c r="E582" i="11"/>
  <c r="E584" i="11"/>
  <c r="E586" i="11"/>
  <c r="E588" i="11"/>
  <c r="E590" i="11"/>
  <c r="E592" i="11"/>
  <c r="E594" i="11"/>
  <c r="E596" i="11"/>
  <c r="E598" i="11"/>
  <c r="E600" i="11"/>
  <c r="E602" i="11"/>
  <c r="E604" i="11"/>
  <c r="E606" i="11"/>
  <c r="E608" i="11"/>
  <c r="E610" i="11"/>
  <c r="E612" i="11"/>
  <c r="E615" i="11"/>
  <c r="E617" i="11"/>
  <c r="E619" i="11"/>
  <c r="E621" i="11"/>
  <c r="E623" i="11"/>
  <c r="E624" i="11"/>
  <c r="E626" i="11"/>
  <c r="E629" i="11"/>
  <c r="E631" i="11"/>
  <c r="E633" i="11"/>
  <c r="E635" i="11"/>
  <c r="E637" i="11"/>
  <c r="E639" i="11"/>
  <c r="E641" i="11"/>
  <c r="E643" i="11"/>
  <c r="E645" i="11"/>
  <c r="E646" i="11"/>
  <c r="E648" i="11"/>
  <c r="E650" i="11"/>
  <c r="E652" i="11"/>
  <c r="E654" i="11"/>
  <c r="E656" i="11"/>
  <c r="E658" i="11"/>
  <c r="E660" i="11"/>
  <c r="E662" i="11"/>
  <c r="E664" i="11"/>
  <c r="E666" i="11"/>
  <c r="E668" i="11"/>
  <c r="E670" i="11"/>
  <c r="E672" i="11"/>
  <c r="E674" i="11"/>
  <c r="E676" i="11"/>
  <c r="E679" i="11"/>
  <c r="E681" i="11"/>
  <c r="E683" i="11"/>
  <c r="E685" i="11"/>
  <c r="E687" i="11"/>
  <c r="E689" i="11"/>
  <c r="E691" i="11"/>
  <c r="E692" i="11"/>
  <c r="E694" i="11"/>
  <c r="E696" i="11"/>
  <c r="E698" i="11"/>
  <c r="E700" i="11"/>
  <c r="E703" i="11"/>
  <c r="E704" i="11"/>
  <c r="E706" i="11"/>
  <c r="E708" i="11"/>
  <c r="E710" i="11"/>
  <c r="E712" i="11"/>
  <c r="E714" i="11"/>
  <c r="E716" i="11"/>
  <c r="E718" i="11"/>
  <c r="E720" i="11"/>
  <c r="E722" i="11"/>
  <c r="E725" i="11"/>
  <c r="E726" i="11"/>
  <c r="E728" i="11"/>
  <c r="E730" i="11"/>
  <c r="E732" i="11"/>
  <c r="E734" i="11"/>
  <c r="E736" i="11"/>
  <c r="E738" i="11"/>
  <c r="E740" i="11"/>
  <c r="E742" i="11"/>
  <c r="E744" i="11"/>
  <c r="E746" i="11"/>
  <c r="E748" i="11"/>
  <c r="E750" i="11"/>
  <c r="E751" i="11"/>
  <c r="E753" i="11"/>
  <c r="E755" i="11"/>
  <c r="E757" i="11"/>
  <c r="E758" i="11"/>
  <c r="E760" i="11"/>
  <c r="E762" i="11"/>
  <c r="E764" i="11"/>
  <c r="E766" i="11"/>
  <c r="E768" i="11"/>
  <c r="E770" i="11"/>
  <c r="E772" i="11"/>
  <c r="E774" i="11"/>
  <c r="E776" i="11"/>
  <c r="E779" i="11"/>
  <c r="E781" i="11"/>
  <c r="E783" i="11"/>
  <c r="E785" i="11"/>
  <c r="E787" i="11"/>
  <c r="E789" i="11"/>
  <c r="E791" i="11"/>
  <c r="E793" i="11"/>
  <c r="E795" i="11"/>
  <c r="E797" i="11"/>
  <c r="E799" i="11"/>
  <c r="E801" i="11"/>
  <c r="F22" i="11"/>
  <c r="F54" i="11"/>
  <c r="F86" i="11"/>
  <c r="F110" i="11"/>
  <c r="F131" i="11"/>
  <c r="D134" i="11"/>
  <c r="F147" i="11"/>
  <c r="D150" i="11"/>
  <c r="F163" i="11"/>
  <c r="D166" i="11"/>
  <c r="F179" i="11"/>
  <c r="D182" i="11"/>
  <c r="F195" i="11"/>
  <c r="D198" i="11"/>
  <c r="F211" i="11"/>
  <c r="D214" i="11"/>
  <c r="E223" i="11"/>
  <c r="E231" i="11"/>
  <c r="E239" i="11"/>
  <c r="E247" i="11"/>
  <c r="E255" i="11"/>
  <c r="E263" i="11"/>
  <c r="E271" i="11"/>
  <c r="E279" i="11"/>
  <c r="E287" i="11"/>
  <c r="E295" i="11"/>
  <c r="E303" i="11"/>
  <c r="E311" i="11"/>
  <c r="E319" i="11"/>
  <c r="E327" i="11"/>
  <c r="E335" i="11"/>
  <c r="E343" i="11"/>
  <c r="E351" i="11"/>
  <c r="E359" i="11"/>
  <c r="E367" i="11"/>
  <c r="E375" i="11"/>
  <c r="E383" i="11"/>
  <c r="E391" i="11"/>
  <c r="E399" i="11"/>
  <c r="E407" i="11"/>
  <c r="E415" i="11"/>
  <c r="E423" i="11"/>
  <c r="E431" i="11"/>
  <c r="E438" i="11"/>
  <c r="E442" i="11"/>
  <c r="E446" i="11"/>
  <c r="E450" i="11"/>
  <c r="E454" i="11"/>
  <c r="E458" i="11"/>
  <c r="E462" i="11"/>
  <c r="E466" i="11"/>
  <c r="E470" i="11"/>
  <c r="E474" i="11"/>
  <c r="E478" i="11"/>
  <c r="E482" i="11"/>
  <c r="E485" i="11"/>
  <c r="F486" i="11"/>
  <c r="E489" i="11"/>
  <c r="F490" i="11"/>
  <c r="E493" i="11"/>
  <c r="F494"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D523" i="11"/>
  <c r="D524" i="11"/>
  <c r="D525" i="11"/>
  <c r="D526" i="11"/>
  <c r="D527" i="11"/>
  <c r="D528" i="11"/>
  <c r="D529" i="11"/>
  <c r="D530" i="11"/>
  <c r="D531" i="11"/>
  <c r="D532" i="11"/>
  <c r="D533" i="11"/>
  <c r="D534"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4" i="11"/>
  <c r="D625" i="11"/>
  <c r="D626" i="11"/>
  <c r="D627" i="11"/>
  <c r="D628" i="11"/>
  <c r="D629" i="11"/>
  <c r="D630" i="11"/>
  <c r="D631" i="11"/>
  <c r="D632" i="11"/>
  <c r="D633" i="11"/>
  <c r="D634" i="11"/>
  <c r="D635" i="11"/>
  <c r="D636" i="11"/>
  <c r="D637" i="11"/>
  <c r="D638" i="11"/>
  <c r="D639" i="11"/>
  <c r="D640" i="11"/>
  <c r="D642" i="11"/>
  <c r="D643" i="11"/>
  <c r="D645" i="11"/>
  <c r="D647" i="11"/>
  <c r="D649" i="11"/>
  <c r="D652" i="11"/>
  <c r="D654" i="11"/>
  <c r="D656" i="11"/>
  <c r="D657" i="11"/>
  <c r="D659" i="11"/>
  <c r="D661" i="11"/>
  <c r="D663" i="11"/>
  <c r="D665" i="11"/>
  <c r="D668" i="11"/>
  <c r="D669" i="11"/>
  <c r="D671" i="11"/>
  <c r="D673" i="11"/>
  <c r="D675" i="11"/>
  <c r="D677" i="11"/>
  <c r="D679" i="11"/>
  <c r="D681" i="11"/>
  <c r="D684" i="11"/>
  <c r="D686" i="11"/>
  <c r="D688" i="11"/>
  <c r="D690" i="11"/>
  <c r="D692" i="11"/>
  <c r="D693" i="11"/>
  <c r="D695" i="11"/>
  <c r="D698" i="11"/>
  <c r="D700" i="11"/>
  <c r="D702" i="11"/>
  <c r="D704" i="11"/>
  <c r="D706" i="11"/>
  <c r="D708" i="11"/>
  <c r="D710" i="11"/>
  <c r="D713" i="11"/>
  <c r="D715" i="11"/>
  <c r="D717" i="11"/>
  <c r="D719" i="11"/>
  <c r="D721" i="11"/>
  <c r="D723" i="11"/>
  <c r="D725" i="11"/>
  <c r="D728" i="11"/>
  <c r="D730" i="11"/>
  <c r="D732" i="11"/>
  <c r="D734" i="11"/>
  <c r="D736" i="11"/>
  <c r="D738" i="11"/>
  <c r="D741" i="11"/>
  <c r="D743" i="11"/>
  <c r="D745" i="11"/>
  <c r="D747" i="11"/>
  <c r="D749" i="11"/>
  <c r="D751" i="11"/>
  <c r="D753" i="11"/>
  <c r="D755" i="11"/>
  <c r="D757" i="11"/>
  <c r="D760" i="11"/>
  <c r="D762" i="11"/>
  <c r="D764" i="11"/>
  <c r="D766" i="11"/>
  <c r="D768" i="11"/>
  <c r="D770" i="11"/>
  <c r="D772" i="11"/>
  <c r="D774" i="11"/>
  <c r="D776" i="11"/>
  <c r="D778" i="11"/>
  <c r="D780" i="11"/>
  <c r="D782" i="11"/>
  <c r="D784" i="11"/>
  <c r="D787" i="11"/>
  <c r="D789" i="11"/>
  <c r="D791" i="11"/>
  <c r="D793" i="11"/>
  <c r="D795" i="11"/>
  <c r="D797" i="11"/>
  <c r="D799" i="11"/>
  <c r="D801" i="11"/>
  <c r="D803" i="11"/>
  <c r="D805" i="11"/>
  <c r="D807" i="11"/>
  <c r="D809" i="11"/>
  <c r="D811" i="11"/>
  <c r="D814" i="11"/>
  <c r="D816" i="11"/>
  <c r="D818" i="11"/>
  <c r="D820" i="11"/>
  <c r="D822" i="11"/>
  <c r="D824" i="11"/>
  <c r="D826" i="11"/>
  <c r="D829" i="11"/>
  <c r="D831" i="11"/>
  <c r="D833" i="11"/>
  <c r="D835" i="11"/>
  <c r="D837" i="11"/>
  <c r="D839" i="11"/>
  <c r="D841" i="11"/>
  <c r="D843" i="11"/>
  <c r="D846" i="11"/>
  <c r="D848" i="11"/>
  <c r="D850" i="11"/>
  <c r="D852" i="11"/>
  <c r="D854" i="11"/>
  <c r="D856" i="11"/>
  <c r="F108" i="11"/>
  <c r="F231" i="11"/>
  <c r="F247" i="11"/>
  <c r="F263" i="11"/>
  <c r="F279" i="11"/>
  <c r="F295" i="11"/>
  <c r="F311" i="11"/>
  <c r="F327" i="11"/>
  <c r="F343" i="11"/>
  <c r="F351" i="11"/>
  <c r="F367" i="11"/>
  <c r="F383" i="11"/>
  <c r="F399" i="11"/>
  <c r="F415" i="11"/>
  <c r="F431" i="11"/>
  <c r="F440" i="11"/>
  <c r="F448" i="11"/>
  <c r="F456" i="11"/>
  <c r="F464" i="11"/>
  <c r="F472" i="11"/>
  <c r="F480" i="11"/>
  <c r="F485" i="11"/>
  <c r="F489" i="11"/>
  <c r="F493" i="11"/>
  <c r="E497" i="11"/>
  <c r="E499" i="11"/>
  <c r="E501" i="11"/>
  <c r="E503" i="11"/>
  <c r="E505" i="11"/>
  <c r="E507" i="11"/>
  <c r="E509" i="11"/>
  <c r="E511" i="11"/>
  <c r="E513" i="11"/>
  <c r="E515" i="11"/>
  <c r="E517" i="11"/>
  <c r="E519" i="11"/>
  <c r="E521" i="11"/>
  <c r="E522" i="11"/>
  <c r="E524" i="11"/>
  <c r="E526" i="11"/>
  <c r="E528" i="11"/>
  <c r="E530" i="11"/>
  <c r="E532" i="11"/>
  <c r="E533" i="11"/>
  <c r="E535" i="11"/>
  <c r="E537" i="11"/>
  <c r="E539" i="11"/>
  <c r="E541" i="11"/>
  <c r="E543" i="11"/>
  <c r="E545" i="11"/>
  <c r="E547" i="11"/>
  <c r="E549" i="11"/>
  <c r="E551" i="11"/>
  <c r="E553" i="11"/>
  <c r="E555" i="11"/>
  <c r="E557" i="11"/>
  <c r="E560" i="11"/>
  <c r="E561" i="11"/>
  <c r="E563" i="11"/>
  <c r="E565" i="11"/>
  <c r="E567" i="11"/>
  <c r="E569" i="11"/>
  <c r="E571" i="11"/>
  <c r="E573" i="11"/>
  <c r="E575" i="11"/>
  <c r="E577" i="11"/>
  <c r="E579" i="11"/>
  <c r="E581" i="11"/>
  <c r="E583" i="11"/>
  <c r="E585" i="11"/>
  <c r="E587" i="11"/>
  <c r="E589" i="11"/>
  <c r="E591" i="11"/>
  <c r="E593" i="11"/>
  <c r="E595" i="11"/>
  <c r="E597" i="11"/>
  <c r="E599" i="11"/>
  <c r="E601" i="11"/>
  <c r="E603" i="11"/>
  <c r="E605" i="11"/>
  <c r="E607" i="11"/>
  <c r="E609" i="11"/>
  <c r="E611" i="11"/>
  <c r="E613" i="11"/>
  <c r="E614" i="11"/>
  <c r="E616" i="11"/>
  <c r="E618" i="11"/>
  <c r="E620" i="11"/>
  <c r="E622" i="11"/>
  <c r="E625" i="11"/>
  <c r="E627" i="11"/>
  <c r="E628" i="11"/>
  <c r="E630" i="11"/>
  <c r="E632" i="11"/>
  <c r="E634" i="11"/>
  <c r="E636" i="11"/>
  <c r="E638" i="11"/>
  <c r="E640" i="11"/>
  <c r="E642" i="11"/>
  <c r="E644" i="11"/>
  <c r="E647" i="11"/>
  <c r="E649" i="11"/>
  <c r="E651" i="11"/>
  <c r="E653" i="11"/>
  <c r="E655" i="11"/>
  <c r="E657" i="11"/>
  <c r="E659" i="11"/>
  <c r="E661" i="11"/>
  <c r="E663" i="11"/>
  <c r="E665" i="11"/>
  <c r="E667" i="11"/>
  <c r="E669" i="11"/>
  <c r="E671" i="11"/>
  <c r="E673" i="11"/>
  <c r="E675" i="11"/>
  <c r="E677" i="11"/>
  <c r="E678" i="11"/>
  <c r="E680" i="11"/>
  <c r="E682" i="11"/>
  <c r="E684" i="11"/>
  <c r="E686" i="11"/>
  <c r="E688" i="11"/>
  <c r="E690" i="11"/>
  <c r="E693" i="11"/>
  <c r="E695" i="11"/>
  <c r="E697" i="11"/>
  <c r="E699" i="11"/>
  <c r="E701" i="11"/>
  <c r="E702" i="11"/>
  <c r="E705" i="11"/>
  <c r="E707" i="11"/>
  <c r="E709" i="11"/>
  <c r="E711" i="11"/>
  <c r="E713" i="11"/>
  <c r="E715" i="11"/>
  <c r="E717" i="11"/>
  <c r="E719" i="11"/>
  <c r="E721" i="11"/>
  <c r="E723" i="11"/>
  <c r="E724" i="11"/>
  <c r="E727" i="11"/>
  <c r="E729" i="11"/>
  <c r="E731" i="11"/>
  <c r="E733" i="11"/>
  <c r="E735" i="11"/>
  <c r="E737" i="11"/>
  <c r="E739" i="11"/>
  <c r="E741" i="11"/>
  <c r="E743" i="11"/>
  <c r="E745" i="11"/>
  <c r="E747" i="11"/>
  <c r="E749" i="11"/>
  <c r="E752" i="11"/>
  <c r="E754" i="11"/>
  <c r="E756" i="11"/>
  <c r="E759" i="11"/>
  <c r="E761" i="11"/>
  <c r="E763" i="11"/>
  <c r="E765" i="11"/>
  <c r="E767" i="11"/>
  <c r="E769" i="11"/>
  <c r="E771" i="11"/>
  <c r="E773" i="11"/>
  <c r="E775" i="11"/>
  <c r="E777" i="11"/>
  <c r="E778" i="11"/>
  <c r="E780" i="11"/>
  <c r="E782" i="11"/>
  <c r="E784" i="11"/>
  <c r="E786" i="11"/>
  <c r="E788" i="11"/>
  <c r="E790" i="11"/>
  <c r="E792" i="11"/>
  <c r="E794" i="11"/>
  <c r="E796" i="11"/>
  <c r="E798" i="11"/>
  <c r="E800" i="11"/>
  <c r="E802" i="11"/>
  <c r="F38" i="11"/>
  <c r="F123" i="11"/>
  <c r="D126" i="11"/>
  <c r="F155" i="11"/>
  <c r="D158" i="11"/>
  <c r="F187" i="11"/>
  <c r="D190" i="11"/>
  <c r="E219" i="11"/>
  <c r="E251" i="11"/>
  <c r="E283" i="11"/>
  <c r="E315" i="11"/>
  <c r="E347" i="11"/>
  <c r="E379" i="11"/>
  <c r="E411" i="11"/>
  <c r="E439" i="11"/>
  <c r="E455" i="11"/>
  <c r="E471" i="11"/>
  <c r="E804" i="11"/>
  <c r="F805" i="11"/>
  <c r="E808" i="11"/>
  <c r="F809" i="11"/>
  <c r="E812" i="11"/>
  <c r="F813" i="11"/>
  <c r="E816" i="11"/>
  <c r="F817" i="11"/>
  <c r="E820" i="11"/>
  <c r="F821" i="11"/>
  <c r="E824" i="11"/>
  <c r="F825" i="11"/>
  <c r="E828" i="11"/>
  <c r="F829" i="11"/>
  <c r="E832" i="11"/>
  <c r="F833" i="11"/>
  <c r="E836" i="11"/>
  <c r="F837" i="11"/>
  <c r="E840" i="11"/>
  <c r="F841" i="11"/>
  <c r="E844" i="11"/>
  <c r="F845" i="11"/>
  <c r="E848" i="11"/>
  <c r="F849" i="11"/>
  <c r="E852" i="11"/>
  <c r="F853" i="11"/>
  <c r="E856" i="11"/>
  <c r="F857" i="11"/>
  <c r="F824" i="11"/>
  <c r="F832" i="11"/>
  <c r="E835" i="11"/>
  <c r="E839" i="11"/>
  <c r="F844" i="11"/>
  <c r="E847" i="11"/>
  <c r="E851" i="11"/>
  <c r="E855" i="11"/>
  <c r="E267" i="11"/>
  <c r="E331" i="11"/>
  <c r="E395" i="11"/>
  <c r="E463" i="11"/>
  <c r="F819" i="11"/>
  <c r="E826" i="11"/>
  <c r="F831" i="11"/>
  <c r="F835" i="11"/>
  <c r="F839" i="11"/>
  <c r="F843" i="11"/>
  <c r="F847" i="11"/>
  <c r="F851" i="11"/>
  <c r="F855" i="11"/>
  <c r="F488" i="11"/>
  <c r="F498" i="11"/>
  <c r="F502" i="11"/>
  <c r="F506" i="11"/>
  <c r="F508" i="11"/>
  <c r="F512" i="11"/>
  <c r="F516" i="11"/>
  <c r="F520" i="11"/>
  <c r="F524" i="11"/>
  <c r="F528" i="11"/>
  <c r="F532" i="11"/>
  <c r="F534" i="11"/>
  <c r="F538" i="11"/>
  <c r="F542" i="11"/>
  <c r="F546" i="11"/>
  <c r="F550" i="11"/>
  <c r="F554" i="11"/>
  <c r="F558" i="11"/>
  <c r="F562" i="11"/>
  <c r="F566" i="11"/>
  <c r="F570" i="11"/>
  <c r="F574" i="11"/>
  <c r="F578" i="11"/>
  <c r="F582" i="11"/>
  <c r="F586" i="11"/>
  <c r="F590" i="11"/>
  <c r="F594" i="11"/>
  <c r="F598" i="11"/>
  <c r="F604" i="11"/>
  <c r="F608" i="11"/>
  <c r="F612" i="11"/>
  <c r="F616" i="11"/>
  <c r="F620" i="11"/>
  <c r="F622" i="11"/>
  <c r="F626" i="11"/>
  <c r="F630" i="11"/>
  <c r="F634" i="11"/>
  <c r="F638" i="11"/>
  <c r="F642" i="11"/>
  <c r="F646" i="11"/>
  <c r="F650" i="11"/>
  <c r="F654" i="11"/>
  <c r="F658" i="11"/>
  <c r="F662" i="11"/>
  <c r="F666" i="11"/>
  <c r="F670" i="11"/>
  <c r="F674" i="11"/>
  <c r="F678" i="11"/>
  <c r="F682" i="11"/>
  <c r="F686" i="11"/>
  <c r="F690" i="11"/>
  <c r="F694" i="11"/>
  <c r="F698" i="11"/>
  <c r="F702" i="11"/>
  <c r="F706" i="11"/>
  <c r="F710" i="11"/>
  <c r="F714" i="11"/>
  <c r="F718" i="11"/>
  <c r="F722" i="11"/>
  <c r="F728" i="11"/>
  <c r="F732" i="11"/>
  <c r="F738" i="11"/>
  <c r="F742" i="11"/>
  <c r="F746" i="11"/>
  <c r="F750" i="11"/>
  <c r="F754" i="11"/>
  <c r="F758" i="11"/>
  <c r="F762" i="11"/>
  <c r="F766" i="11"/>
  <c r="F770" i="11"/>
  <c r="F776" i="11"/>
  <c r="F780" i="11"/>
  <c r="F784" i="11"/>
  <c r="F788" i="11"/>
  <c r="F792" i="11"/>
  <c r="F796" i="11"/>
  <c r="F800" i="11"/>
  <c r="E805" i="11"/>
  <c r="F810" i="11"/>
  <c r="F814" i="11"/>
  <c r="F818" i="11"/>
  <c r="F822" i="11"/>
  <c r="F826" i="11"/>
  <c r="F830" i="11"/>
  <c r="F834" i="11"/>
  <c r="E837" i="11"/>
  <c r="F842" i="11"/>
  <c r="F846" i="11"/>
  <c r="F850" i="11"/>
  <c r="F854" i="11"/>
  <c r="E857" i="11"/>
  <c r="F70" i="11"/>
  <c r="E227" i="11"/>
  <c r="E259" i="11"/>
  <c r="E291" i="11"/>
  <c r="E323" i="11"/>
  <c r="E355" i="11"/>
  <c r="E387" i="11"/>
  <c r="E419" i="11"/>
  <c r="E443" i="11"/>
  <c r="E459" i="11"/>
  <c r="E475" i="11"/>
  <c r="F484" i="11"/>
  <c r="E487" i="11"/>
  <c r="F492" i="11"/>
  <c r="E495" i="11"/>
  <c r="F497" i="11"/>
  <c r="F499" i="11"/>
  <c r="F501" i="11"/>
  <c r="F503" i="11"/>
  <c r="F505" i="11"/>
  <c r="F507" i="11"/>
  <c r="F509" i="11"/>
  <c r="F511" i="11"/>
  <c r="F513" i="11"/>
  <c r="F515" i="11"/>
  <c r="F517" i="11"/>
  <c r="F519" i="11"/>
  <c r="F521" i="11"/>
  <c r="F523" i="11"/>
  <c r="F525" i="11"/>
  <c r="F527" i="11"/>
  <c r="F529" i="11"/>
  <c r="F531" i="11"/>
  <c r="F533" i="11"/>
  <c r="F535" i="11"/>
  <c r="F537" i="11"/>
  <c r="F539" i="11"/>
  <c r="F541" i="11"/>
  <c r="F543" i="11"/>
  <c r="F545" i="11"/>
  <c r="F547" i="11"/>
  <c r="F549" i="11"/>
  <c r="F551" i="11"/>
  <c r="F553" i="11"/>
  <c r="F555" i="11"/>
  <c r="F557" i="11"/>
  <c r="F559" i="11"/>
  <c r="F561" i="11"/>
  <c r="F563" i="11"/>
  <c r="F565" i="11"/>
  <c r="F567" i="11"/>
  <c r="F569" i="11"/>
  <c r="F571" i="11"/>
  <c r="F573" i="11"/>
  <c r="F575" i="11"/>
  <c r="F577" i="11"/>
  <c r="F579" i="11"/>
  <c r="F581" i="11"/>
  <c r="F583" i="11"/>
  <c r="F585" i="11"/>
  <c r="F587" i="11"/>
  <c r="F589" i="11"/>
  <c r="F591" i="11"/>
  <c r="F593" i="11"/>
  <c r="F595" i="11"/>
  <c r="F597" i="11"/>
  <c r="F599" i="11"/>
  <c r="F601" i="11"/>
  <c r="F603" i="11"/>
  <c r="F605" i="11"/>
  <c r="F607" i="11"/>
  <c r="F609" i="11"/>
  <c r="F611" i="11"/>
  <c r="F613" i="11"/>
  <c r="F615" i="11"/>
  <c r="F617" i="11"/>
  <c r="F619" i="11"/>
  <c r="F621" i="11"/>
  <c r="F623" i="11"/>
  <c r="F625" i="11"/>
  <c r="F627" i="11"/>
  <c r="F629" i="11"/>
  <c r="F631" i="11"/>
  <c r="F633" i="11"/>
  <c r="F635" i="11"/>
  <c r="F637" i="11"/>
  <c r="F639" i="11"/>
  <c r="F641" i="11"/>
  <c r="F643" i="11"/>
  <c r="F645" i="11"/>
  <c r="F647" i="11"/>
  <c r="F649" i="11"/>
  <c r="F651" i="11"/>
  <c r="F653" i="11"/>
  <c r="F655" i="11"/>
  <c r="F657" i="11"/>
  <c r="F659" i="11"/>
  <c r="F661" i="11"/>
  <c r="F663" i="11"/>
  <c r="F665" i="11"/>
  <c r="F667" i="11"/>
  <c r="F669" i="11"/>
  <c r="F671" i="11"/>
  <c r="F673" i="11"/>
  <c r="F675" i="11"/>
  <c r="F677" i="11"/>
  <c r="F679" i="11"/>
  <c r="F681" i="11"/>
  <c r="F683" i="11"/>
  <c r="F685" i="11"/>
  <c r="F687" i="11"/>
  <c r="F689" i="11"/>
  <c r="F691" i="11"/>
  <c r="F693" i="11"/>
  <c r="F695" i="11"/>
  <c r="F697" i="11"/>
  <c r="F699" i="11"/>
  <c r="F701" i="11"/>
  <c r="F703" i="11"/>
  <c r="F705" i="11"/>
  <c r="F707" i="11"/>
  <c r="F709" i="11"/>
  <c r="F711" i="11"/>
  <c r="F713" i="11"/>
  <c r="F715" i="11"/>
  <c r="F717" i="11"/>
  <c r="F719" i="11"/>
  <c r="F721" i="11"/>
  <c r="F723" i="11"/>
  <c r="F725" i="11"/>
  <c r="F727" i="11"/>
  <c r="F729" i="11"/>
  <c r="F731" i="11"/>
  <c r="F733" i="11"/>
  <c r="F735" i="11"/>
  <c r="F737" i="11"/>
  <c r="F739" i="11"/>
  <c r="F741" i="11"/>
  <c r="F743" i="11"/>
  <c r="F745" i="11"/>
  <c r="F747" i="11"/>
  <c r="F749" i="11"/>
  <c r="F751" i="11"/>
  <c r="F753" i="11"/>
  <c r="F755" i="11"/>
  <c r="F757" i="11"/>
  <c r="F759" i="11"/>
  <c r="F761" i="11"/>
  <c r="F763" i="11"/>
  <c r="F765" i="11"/>
  <c r="F767" i="11"/>
  <c r="F769" i="11"/>
  <c r="F771" i="11"/>
  <c r="F773" i="11"/>
  <c r="F775" i="11"/>
  <c r="F777" i="11"/>
  <c r="F779" i="11"/>
  <c r="F781" i="11"/>
  <c r="F783" i="11"/>
  <c r="F785" i="11"/>
  <c r="F787" i="11"/>
  <c r="F789" i="11"/>
  <c r="F791" i="11"/>
  <c r="F793" i="11"/>
  <c r="F795" i="11"/>
  <c r="F797" i="11"/>
  <c r="F799" i="11"/>
  <c r="F801" i="11"/>
  <c r="E803" i="11"/>
  <c r="F804" i="11"/>
  <c r="E807" i="11"/>
  <c r="F808" i="11"/>
  <c r="E811" i="11"/>
  <c r="F812" i="11"/>
  <c r="E815" i="11"/>
  <c r="F816" i="11"/>
  <c r="E819" i="11"/>
  <c r="F820" i="11"/>
  <c r="E823" i="11"/>
  <c r="E827" i="11"/>
  <c r="F828" i="11"/>
  <c r="E831" i="11"/>
  <c r="F836" i="11"/>
  <c r="F840" i="11"/>
  <c r="E843" i="11"/>
  <c r="F848" i="11"/>
  <c r="F852" i="11"/>
  <c r="F856" i="11"/>
  <c r="F94" i="11"/>
  <c r="F139" i="11"/>
  <c r="D142" i="11"/>
  <c r="F171" i="11"/>
  <c r="D174" i="11"/>
  <c r="F203" i="11"/>
  <c r="D206" i="11"/>
  <c r="E235" i="11"/>
  <c r="E299" i="11"/>
  <c r="E363" i="11"/>
  <c r="E427" i="11"/>
  <c r="E447" i="11"/>
  <c r="E479" i="11"/>
  <c r="F803" i="11"/>
  <c r="E806" i="11"/>
  <c r="F807" i="11"/>
  <c r="E810" i="11"/>
  <c r="F811" i="11"/>
  <c r="E814" i="11"/>
  <c r="F815" i="11"/>
  <c r="E818" i="11"/>
  <c r="E822" i="11"/>
  <c r="F823" i="11"/>
  <c r="F827" i="11"/>
  <c r="E830" i="11"/>
  <c r="E834" i="11"/>
  <c r="E838" i="11"/>
  <c r="E842" i="11"/>
  <c r="E846" i="11"/>
  <c r="E850" i="11"/>
  <c r="E854" i="11"/>
  <c r="E243" i="11"/>
  <c r="E275" i="11"/>
  <c r="E307" i="11"/>
  <c r="E339" i="11"/>
  <c r="E371" i="11"/>
  <c r="E403" i="11"/>
  <c r="E435" i="11"/>
  <c r="E451" i="11"/>
  <c r="E467" i="11"/>
  <c r="E483" i="11"/>
  <c r="E491" i="11"/>
  <c r="F496" i="11"/>
  <c r="F500" i="11"/>
  <c r="F504" i="11"/>
  <c r="F510" i="11"/>
  <c r="F514" i="11"/>
  <c r="F518" i="11"/>
  <c r="F522" i="11"/>
  <c r="F526" i="11"/>
  <c r="F530" i="11"/>
  <c r="F536" i="11"/>
  <c r="F540" i="11"/>
  <c r="F544" i="11"/>
  <c r="F548" i="11"/>
  <c r="F552" i="11"/>
  <c r="F556" i="11"/>
  <c r="F560" i="11"/>
  <c r="F564" i="11"/>
  <c r="F568" i="11"/>
  <c r="F572" i="11"/>
  <c r="F576" i="11"/>
  <c r="F580" i="11"/>
  <c r="F584" i="11"/>
  <c r="F588" i="11"/>
  <c r="F592" i="11"/>
  <c r="F596" i="11"/>
  <c r="F600" i="11"/>
  <c r="F602" i="11"/>
  <c r="F606" i="11"/>
  <c r="F610" i="11"/>
  <c r="F614" i="11"/>
  <c r="F618" i="11"/>
  <c r="F624" i="11"/>
  <c r="F628" i="11"/>
  <c r="F632" i="11"/>
  <c r="F636" i="11"/>
  <c r="F640" i="11"/>
  <c r="F644" i="11"/>
  <c r="F648" i="11"/>
  <c r="F652" i="11"/>
  <c r="F656" i="11"/>
  <c r="F660" i="11"/>
  <c r="F664" i="11"/>
  <c r="F668" i="11"/>
  <c r="F672" i="11"/>
  <c r="F676" i="11"/>
  <c r="F680" i="11"/>
  <c r="F684" i="11"/>
  <c r="F688" i="11"/>
  <c r="F692" i="11"/>
  <c r="F696" i="11"/>
  <c r="F700" i="11"/>
  <c r="F704" i="11"/>
  <c r="F708" i="11"/>
  <c r="F712" i="11"/>
  <c r="F716" i="11"/>
  <c r="F720" i="11"/>
  <c r="F724" i="11"/>
  <c r="F726" i="11"/>
  <c r="F730" i="11"/>
  <c r="F734" i="11"/>
  <c r="F736" i="11"/>
  <c r="F740" i="11"/>
  <c r="F744" i="11"/>
  <c r="F748" i="11"/>
  <c r="F752" i="11"/>
  <c r="F756" i="11"/>
  <c r="F760" i="11"/>
  <c r="F764" i="11"/>
  <c r="F768" i="11"/>
  <c r="F772" i="11"/>
  <c r="F774" i="11"/>
  <c r="F778" i="11"/>
  <c r="F782" i="11"/>
  <c r="F786" i="11"/>
  <c r="F790" i="11"/>
  <c r="F794" i="11"/>
  <c r="F798" i="11"/>
  <c r="F802" i="11"/>
  <c r="F806" i="11"/>
  <c r="E809" i="11"/>
  <c r="E813" i="11"/>
  <c r="E817" i="11"/>
  <c r="E821" i="11"/>
  <c r="E825" i="11"/>
  <c r="E829" i="11"/>
  <c r="E833" i="11"/>
  <c r="F838" i="11"/>
  <c r="E841" i="11"/>
  <c r="E845" i="11"/>
  <c r="E849" i="11"/>
  <c r="E853" i="11"/>
  <c r="Z8" i="11"/>
  <c r="G181" i="11" l="1"/>
  <c r="G213" i="11"/>
  <c r="H213" i="11" s="1"/>
  <c r="G149" i="11"/>
  <c r="G142" i="11"/>
  <c r="G197" i="11"/>
  <c r="I197" i="11" s="1"/>
  <c r="G182" i="11"/>
  <c r="G214" i="11"/>
  <c r="G150" i="11"/>
  <c r="G218" i="11"/>
  <c r="H218" i="11" s="1"/>
  <c r="G186" i="11"/>
  <c r="I186" i="11" s="1"/>
  <c r="G158" i="11"/>
  <c r="I158" i="11" s="1"/>
  <c r="G126" i="11"/>
  <c r="I126" i="11" s="1"/>
  <c r="G154" i="11"/>
  <c r="I154" i="11" s="1"/>
  <c r="G193" i="11"/>
  <c r="H193" i="11" s="1"/>
  <c r="G161" i="11"/>
  <c r="I161" i="11" s="1"/>
  <c r="G189" i="11"/>
  <c r="G157" i="11"/>
  <c r="I157" i="11" s="1"/>
  <c r="G129" i="11"/>
  <c r="I129" i="11" s="1"/>
  <c r="G125" i="11"/>
  <c r="I125" i="11" s="1"/>
  <c r="G206" i="11"/>
  <c r="G174" i="11"/>
  <c r="I174" i="11" s="1"/>
  <c r="G201" i="11"/>
  <c r="H201" i="11" s="1"/>
  <c r="G169" i="11"/>
  <c r="I169" i="11" s="1"/>
  <c r="G137" i="11"/>
  <c r="H137" i="11" s="1"/>
  <c r="G166" i="11"/>
  <c r="I166" i="11" s="1"/>
  <c r="G198" i="11"/>
  <c r="I198" i="11" s="1"/>
  <c r="G134" i="11"/>
  <c r="I134" i="11" s="1"/>
  <c r="G204" i="11"/>
  <c r="I204" i="11" s="1"/>
  <c r="G172" i="11"/>
  <c r="G188" i="11"/>
  <c r="G165" i="11"/>
  <c r="I165" i="11" s="1"/>
  <c r="G133" i="11"/>
  <c r="I133" i="11" s="1"/>
  <c r="G190" i="11"/>
  <c r="I190" i="11" s="1"/>
  <c r="G156" i="11"/>
  <c r="G124" i="11"/>
  <c r="G833" i="11"/>
  <c r="I833" i="11" s="1"/>
  <c r="G140" i="11"/>
  <c r="G217" i="11"/>
  <c r="I217" i="11" s="1"/>
  <c r="G185" i="11"/>
  <c r="I185" i="11" s="1"/>
  <c r="G153" i="11"/>
  <c r="H153" i="11" s="1"/>
  <c r="G209" i="11"/>
  <c r="I209" i="11" s="1"/>
  <c r="G177" i="11"/>
  <c r="I177" i="11" s="1"/>
  <c r="G145" i="11"/>
  <c r="I145" i="11" s="1"/>
  <c r="G205" i="11"/>
  <c r="I205" i="11" s="1"/>
  <c r="G173" i="11"/>
  <c r="G141" i="11"/>
  <c r="G210" i="11"/>
  <c r="G178" i="11"/>
  <c r="I178" i="11" s="1"/>
  <c r="G146" i="11"/>
  <c r="I146" i="11" s="1"/>
  <c r="G202" i="11"/>
  <c r="G170" i="11"/>
  <c r="G138" i="11"/>
  <c r="I138" i="11" s="1"/>
  <c r="G194" i="11"/>
  <c r="I194" i="11" s="1"/>
  <c r="G162" i="11"/>
  <c r="G130" i="11"/>
  <c r="G212" i="11"/>
  <c r="G196" i="11"/>
  <c r="I196" i="11" s="1"/>
  <c r="G180" i="11"/>
  <c r="I180" i="11" s="1"/>
  <c r="G164" i="11"/>
  <c r="I164" i="11" s="1"/>
  <c r="G148" i="11"/>
  <c r="G132" i="11"/>
  <c r="I132" i="11" s="1"/>
  <c r="G854" i="11"/>
  <c r="I854" i="11" s="1"/>
  <c r="G837" i="11"/>
  <c r="I837" i="11" s="1"/>
  <c r="G820" i="11"/>
  <c r="G803" i="11"/>
  <c r="I803" i="11" s="1"/>
  <c r="G787" i="11"/>
  <c r="I787" i="11" s="1"/>
  <c r="G770" i="11"/>
  <c r="G753" i="11"/>
  <c r="G736" i="11"/>
  <c r="G719" i="11"/>
  <c r="I719" i="11" s="1"/>
  <c r="G702" i="11"/>
  <c r="G686" i="11"/>
  <c r="I686" i="11" s="1"/>
  <c r="G669" i="11"/>
  <c r="I669" i="11" s="1"/>
  <c r="G654" i="11"/>
  <c r="G639" i="11"/>
  <c r="G631" i="11"/>
  <c r="G622" i="11"/>
  <c r="G614" i="11"/>
  <c r="G606" i="11"/>
  <c r="I606" i="11" s="1"/>
  <c r="G852" i="11"/>
  <c r="I852" i="11" s="1"/>
  <c r="G835" i="11"/>
  <c r="I835" i="11" s="1"/>
  <c r="G818" i="11"/>
  <c r="G801" i="11"/>
  <c r="I801" i="11" s="1"/>
  <c r="G784" i="11"/>
  <c r="I784" i="11" s="1"/>
  <c r="G768" i="11"/>
  <c r="G751" i="11"/>
  <c r="G734" i="11"/>
  <c r="G717" i="11"/>
  <c r="I717" i="11" s="1"/>
  <c r="G700" i="11"/>
  <c r="G684" i="11"/>
  <c r="G668" i="11"/>
  <c r="I668" i="11" s="1"/>
  <c r="G652" i="11"/>
  <c r="I652" i="11" s="1"/>
  <c r="G638" i="11"/>
  <c r="I638" i="11" s="1"/>
  <c r="G630" i="11"/>
  <c r="G621" i="11"/>
  <c r="G613" i="11"/>
  <c r="G605" i="11"/>
  <c r="I605" i="11" s="1"/>
  <c r="G597" i="11"/>
  <c r="G589" i="11"/>
  <c r="I589" i="11" s="1"/>
  <c r="G581" i="11"/>
  <c r="G573" i="11"/>
  <c r="I573" i="11" s="1"/>
  <c r="G565" i="11"/>
  <c r="G557" i="11"/>
  <c r="I557" i="11" s="1"/>
  <c r="G549" i="11"/>
  <c r="I549" i="11" s="1"/>
  <c r="G541" i="11"/>
  <c r="I541" i="11" s="1"/>
  <c r="G850" i="11"/>
  <c r="I850" i="11" s="1"/>
  <c r="G816" i="11"/>
  <c r="I816" i="11" s="1"/>
  <c r="G799" i="11"/>
  <c r="I799" i="11" s="1"/>
  <c r="G782" i="11"/>
  <c r="I782" i="11" s="1"/>
  <c r="G766" i="11"/>
  <c r="G749" i="11"/>
  <c r="G732" i="11"/>
  <c r="I732" i="11" s="1"/>
  <c r="G715" i="11"/>
  <c r="G698" i="11"/>
  <c r="I698" i="11" s="1"/>
  <c r="G681" i="11"/>
  <c r="G665" i="11"/>
  <c r="I665" i="11" s="1"/>
  <c r="G649" i="11"/>
  <c r="I649" i="11" s="1"/>
  <c r="G637" i="11"/>
  <c r="G629" i="11"/>
  <c r="G620" i="11"/>
  <c r="G612" i="11"/>
  <c r="G604" i="11"/>
  <c r="I604" i="11" s="1"/>
  <c r="G596" i="11"/>
  <c r="G588" i="11"/>
  <c r="I588" i="11" s="1"/>
  <c r="G580" i="11"/>
  <c r="G572" i="11"/>
  <c r="I572" i="11" s="1"/>
  <c r="G564" i="11"/>
  <c r="G556" i="11"/>
  <c r="I556" i="11" s="1"/>
  <c r="G548" i="11"/>
  <c r="I548" i="11" s="1"/>
  <c r="G540" i="11"/>
  <c r="G532" i="11"/>
  <c r="I532" i="11" s="1"/>
  <c r="G524" i="11"/>
  <c r="G516" i="11"/>
  <c r="I516" i="11" s="1"/>
  <c r="G508" i="11"/>
  <c r="G848" i="11"/>
  <c r="I848" i="11" s="1"/>
  <c r="G831" i="11"/>
  <c r="I831" i="11" s="1"/>
  <c r="G814" i="11"/>
  <c r="I814" i="11" s="1"/>
  <c r="G797" i="11"/>
  <c r="G780" i="11"/>
  <c r="I780" i="11" s="1"/>
  <c r="G764" i="11"/>
  <c r="I764" i="11" s="1"/>
  <c r="G747" i="11"/>
  <c r="G730" i="11"/>
  <c r="I730" i="11" s="1"/>
  <c r="G713" i="11"/>
  <c r="G695" i="11"/>
  <c r="I695" i="11" s="1"/>
  <c r="G679" i="11"/>
  <c r="G663" i="11"/>
  <c r="I663" i="11" s="1"/>
  <c r="G647" i="11"/>
  <c r="G636" i="11"/>
  <c r="G628" i="11"/>
  <c r="G619" i="11"/>
  <c r="G611" i="11"/>
  <c r="G603" i="11"/>
  <c r="I603" i="11" s="1"/>
  <c r="G595" i="11"/>
  <c r="G587" i="11"/>
  <c r="I587" i="11" s="1"/>
  <c r="G579" i="11"/>
  <c r="I579" i="11" s="1"/>
  <c r="G571" i="11"/>
  <c r="I571" i="11" s="1"/>
  <c r="G563" i="11"/>
  <c r="G555" i="11"/>
  <c r="I555" i="11" s="1"/>
  <c r="G547" i="11"/>
  <c r="I547" i="11" s="1"/>
  <c r="G539" i="11"/>
  <c r="I539" i="11" s="1"/>
  <c r="G531" i="11"/>
  <c r="I531" i="11" s="1"/>
  <c r="G523" i="11"/>
  <c r="G515" i="11"/>
  <c r="I515" i="11" s="1"/>
  <c r="G507" i="11"/>
  <c r="G499" i="11"/>
  <c r="G846" i="11"/>
  <c r="G829" i="11"/>
  <c r="G811" i="11"/>
  <c r="G795" i="11"/>
  <c r="I795" i="11" s="1"/>
  <c r="G778" i="11"/>
  <c r="I778" i="11" s="1"/>
  <c r="G762" i="11"/>
  <c r="I762" i="11" s="1"/>
  <c r="G745" i="11"/>
  <c r="G728" i="11"/>
  <c r="G710" i="11"/>
  <c r="G693" i="11"/>
  <c r="I693" i="11" s="1"/>
  <c r="G677" i="11"/>
  <c r="G661" i="11"/>
  <c r="G645" i="11"/>
  <c r="I645" i="11" s="1"/>
  <c r="G635" i="11"/>
  <c r="G627" i="11"/>
  <c r="G618" i="11"/>
  <c r="G843" i="11"/>
  <c r="G826" i="11"/>
  <c r="G809" i="11"/>
  <c r="G793" i="11"/>
  <c r="I793" i="11" s="1"/>
  <c r="G776" i="11"/>
  <c r="I776" i="11" s="1"/>
  <c r="G760" i="11"/>
  <c r="I760" i="11" s="1"/>
  <c r="G743" i="11"/>
  <c r="G725" i="11"/>
  <c r="I725" i="11" s="1"/>
  <c r="G708" i="11"/>
  <c r="G692" i="11"/>
  <c r="G675" i="11"/>
  <c r="I675" i="11" s="1"/>
  <c r="G659" i="11"/>
  <c r="G643" i="11"/>
  <c r="G634" i="11"/>
  <c r="G626" i="11"/>
  <c r="G617" i="11"/>
  <c r="G609" i="11"/>
  <c r="I609" i="11" s="1"/>
  <c r="G601" i="11"/>
  <c r="I601" i="11" s="1"/>
  <c r="G593" i="11"/>
  <c r="G585" i="11"/>
  <c r="G577" i="11"/>
  <c r="I577" i="11" s="1"/>
  <c r="G569" i="11"/>
  <c r="I569" i="11" s="1"/>
  <c r="G561" i="11"/>
  <c r="G553" i="11"/>
  <c r="I553" i="11" s="1"/>
  <c r="G545" i="11"/>
  <c r="G537" i="11"/>
  <c r="G529" i="11"/>
  <c r="G521" i="11"/>
  <c r="G841" i="11"/>
  <c r="I841" i="11" s="1"/>
  <c r="G824" i="11"/>
  <c r="G807" i="11"/>
  <c r="G791" i="11"/>
  <c r="I791" i="11" s="1"/>
  <c r="G774" i="11"/>
  <c r="G757" i="11"/>
  <c r="I757" i="11" s="1"/>
  <c r="G741" i="11"/>
  <c r="G723" i="11"/>
  <c r="G706" i="11"/>
  <c r="G690" i="11"/>
  <c r="G673" i="11"/>
  <c r="I673" i="11" s="1"/>
  <c r="G657" i="11"/>
  <c r="I657" i="11" s="1"/>
  <c r="G642" i="11"/>
  <c r="G633" i="11"/>
  <c r="I633" i="11" s="1"/>
  <c r="G625" i="11"/>
  <c r="G616" i="11"/>
  <c r="I616" i="11" s="1"/>
  <c r="G608" i="11"/>
  <c r="I608" i="11" s="1"/>
  <c r="G600" i="11"/>
  <c r="I600" i="11" s="1"/>
  <c r="G592" i="11"/>
  <c r="G584" i="11"/>
  <c r="G576" i="11"/>
  <c r="G568" i="11"/>
  <c r="I568" i="11" s="1"/>
  <c r="G560" i="11"/>
  <c r="G552" i="11"/>
  <c r="I552" i="11" s="1"/>
  <c r="G544" i="11"/>
  <c r="I544" i="11" s="1"/>
  <c r="G536" i="11"/>
  <c r="G528" i="11"/>
  <c r="G520" i="11"/>
  <c r="G512" i="11"/>
  <c r="G856" i="11"/>
  <c r="I856" i="11" s="1"/>
  <c r="G839" i="11"/>
  <c r="I839" i="11" s="1"/>
  <c r="G822" i="11"/>
  <c r="G805" i="11"/>
  <c r="I805" i="11" s="1"/>
  <c r="G789" i="11"/>
  <c r="G772" i="11"/>
  <c r="G755" i="11"/>
  <c r="G738" i="11"/>
  <c r="G721" i="11"/>
  <c r="I721" i="11" s="1"/>
  <c r="G704" i="11"/>
  <c r="G688" i="11"/>
  <c r="I688" i="11" s="1"/>
  <c r="G671" i="11"/>
  <c r="I671" i="11" s="1"/>
  <c r="G656" i="11"/>
  <c r="G640" i="11"/>
  <c r="G632" i="11"/>
  <c r="G624" i="11"/>
  <c r="G615" i="11"/>
  <c r="G607" i="11"/>
  <c r="I607" i="11" s="1"/>
  <c r="G599" i="11"/>
  <c r="I599" i="11" s="1"/>
  <c r="G591" i="11"/>
  <c r="I591" i="11" s="1"/>
  <c r="G583" i="11"/>
  <c r="G575" i="11"/>
  <c r="G567" i="11"/>
  <c r="I567" i="11" s="1"/>
  <c r="G559" i="11"/>
  <c r="I559" i="11" s="1"/>
  <c r="G598" i="11"/>
  <c r="G590" i="11"/>
  <c r="I590" i="11" s="1"/>
  <c r="G582" i="11"/>
  <c r="G574" i="11"/>
  <c r="G566" i="11"/>
  <c r="G558" i="11"/>
  <c r="I558" i="11" s="1"/>
  <c r="G550" i="11"/>
  <c r="I550" i="11" s="1"/>
  <c r="G542" i="11"/>
  <c r="I542" i="11" s="1"/>
  <c r="G534" i="11"/>
  <c r="I534" i="11" s="1"/>
  <c r="G526" i="11"/>
  <c r="G518" i="11"/>
  <c r="I518" i="11" s="1"/>
  <c r="G510" i="11"/>
  <c r="G502" i="11"/>
  <c r="G849" i="11"/>
  <c r="I849" i="11" s="1"/>
  <c r="G834" i="11"/>
  <c r="I834" i="11" s="1"/>
  <c r="G819" i="11"/>
  <c r="G804" i="11"/>
  <c r="I804" i="11" s="1"/>
  <c r="G788" i="11"/>
  <c r="G773" i="11"/>
  <c r="G758" i="11"/>
  <c r="I758" i="11" s="1"/>
  <c r="G742" i="11"/>
  <c r="G727" i="11"/>
  <c r="I727" i="11" s="1"/>
  <c r="G712" i="11"/>
  <c r="G697" i="11"/>
  <c r="I697" i="11" s="1"/>
  <c r="G682" i="11"/>
  <c r="G666" i="11"/>
  <c r="I666" i="11" s="1"/>
  <c r="G650" i="11"/>
  <c r="I650" i="11" s="1"/>
  <c r="G496" i="11"/>
  <c r="I496" i="11" s="1"/>
  <c r="G491" i="11"/>
  <c r="G483" i="11"/>
  <c r="G475" i="11"/>
  <c r="I475" i="11" s="1"/>
  <c r="G467" i="11"/>
  <c r="G459" i="11"/>
  <c r="G451" i="11"/>
  <c r="I451" i="11" s="1"/>
  <c r="G443" i="11"/>
  <c r="I443" i="11" s="1"/>
  <c r="G430" i="11"/>
  <c r="I430" i="11" s="1"/>
  <c r="G413" i="11"/>
  <c r="I413" i="11" s="1"/>
  <c r="G401" i="11"/>
  <c r="I401" i="11" s="1"/>
  <c r="G393" i="11"/>
  <c r="I393" i="11" s="1"/>
  <c r="G385" i="11"/>
  <c r="I385" i="11" s="1"/>
  <c r="G377" i="11"/>
  <c r="G369" i="11"/>
  <c r="G361" i="11"/>
  <c r="G352" i="11"/>
  <c r="I352" i="11" s="1"/>
  <c r="G344" i="11"/>
  <c r="G336" i="11"/>
  <c r="I336" i="11" s="1"/>
  <c r="G328" i="11"/>
  <c r="I328" i="11" s="1"/>
  <c r="G320" i="11"/>
  <c r="I320" i="11" s="1"/>
  <c r="G312" i="11"/>
  <c r="G304" i="11"/>
  <c r="I304" i="11" s="1"/>
  <c r="G296" i="11"/>
  <c r="I296" i="11" s="1"/>
  <c r="G288" i="11"/>
  <c r="I288" i="11" s="1"/>
  <c r="G280" i="11"/>
  <c r="G272" i="11"/>
  <c r="I272" i="11" s="1"/>
  <c r="G264" i="11"/>
  <c r="I264" i="11" s="1"/>
  <c r="G256" i="11"/>
  <c r="I256" i="11" s="1"/>
  <c r="G248" i="11"/>
  <c r="I248" i="11" s="1"/>
  <c r="G240" i="11"/>
  <c r="G232" i="11"/>
  <c r="I232" i="11" s="1"/>
  <c r="G224" i="11"/>
  <c r="G423" i="11"/>
  <c r="I423" i="11" s="1"/>
  <c r="G408" i="11"/>
  <c r="G208" i="11"/>
  <c r="G192" i="11"/>
  <c r="G176" i="11"/>
  <c r="I176" i="11" s="1"/>
  <c r="G160" i="11"/>
  <c r="G144" i="11"/>
  <c r="I144" i="11" s="1"/>
  <c r="G128" i="11"/>
  <c r="I128" i="11" s="1"/>
  <c r="G116" i="11"/>
  <c r="I116" i="11" s="1"/>
  <c r="G108" i="11"/>
  <c r="I108" i="11" s="1"/>
  <c r="G100" i="11"/>
  <c r="G92" i="11"/>
  <c r="I92" i="11" s="1"/>
  <c r="G86" i="11"/>
  <c r="I86" i="11" s="1"/>
  <c r="G78" i="11"/>
  <c r="I78" i="11" s="1"/>
  <c r="G70" i="11"/>
  <c r="G62" i="11"/>
  <c r="G54" i="11"/>
  <c r="I54" i="11" s="1"/>
  <c r="G46" i="11"/>
  <c r="G38" i="11"/>
  <c r="G30" i="11"/>
  <c r="G22" i="11"/>
  <c r="G14" i="11"/>
  <c r="I14" i="11" s="1"/>
  <c r="G533" i="11"/>
  <c r="I533" i="11" s="1"/>
  <c r="G525" i="11"/>
  <c r="G517" i="11"/>
  <c r="I517" i="11" s="1"/>
  <c r="G509" i="11"/>
  <c r="G501" i="11"/>
  <c r="I501" i="11" s="1"/>
  <c r="G847" i="11"/>
  <c r="I847" i="11" s="1"/>
  <c r="G832" i="11"/>
  <c r="I832" i="11" s="1"/>
  <c r="G817" i="11"/>
  <c r="G802" i="11"/>
  <c r="I802" i="11" s="1"/>
  <c r="G786" i="11"/>
  <c r="I786" i="11" s="1"/>
  <c r="G771" i="11"/>
  <c r="G756" i="11"/>
  <c r="G740" i="11"/>
  <c r="G726" i="11"/>
  <c r="I726" i="11" s="1"/>
  <c r="G711" i="11"/>
  <c r="G696" i="11"/>
  <c r="I696" i="11" s="1"/>
  <c r="G680" i="11"/>
  <c r="G664" i="11"/>
  <c r="I664" i="11" s="1"/>
  <c r="G648" i="11"/>
  <c r="I648" i="11" s="1"/>
  <c r="G494" i="11"/>
  <c r="I494" i="11" s="1"/>
  <c r="G489" i="11"/>
  <c r="G482" i="11"/>
  <c r="G474" i="11"/>
  <c r="I474" i="11" s="1"/>
  <c r="G466" i="11"/>
  <c r="I466" i="11" s="1"/>
  <c r="G458" i="11"/>
  <c r="G450" i="11"/>
  <c r="G442" i="11"/>
  <c r="I442" i="11" s="1"/>
  <c r="G428" i="11"/>
  <c r="I428" i="11" s="1"/>
  <c r="G411" i="11"/>
  <c r="I411" i="11" s="1"/>
  <c r="G400" i="11"/>
  <c r="I400" i="11" s="1"/>
  <c r="G392" i="11"/>
  <c r="I392" i="11" s="1"/>
  <c r="G384" i="11"/>
  <c r="I384" i="11" s="1"/>
  <c r="G376" i="11"/>
  <c r="G368" i="11"/>
  <c r="G359" i="11"/>
  <c r="I359" i="11" s="1"/>
  <c r="G351" i="11"/>
  <c r="I351" i="11" s="1"/>
  <c r="G343" i="11"/>
  <c r="G335" i="11"/>
  <c r="I335" i="11" s="1"/>
  <c r="G327" i="11"/>
  <c r="I327" i="11" s="1"/>
  <c r="G319" i="11"/>
  <c r="I319" i="11" s="1"/>
  <c r="G311" i="11"/>
  <c r="G303" i="11"/>
  <c r="G295" i="11"/>
  <c r="I295" i="11" s="1"/>
  <c r="G287" i="11"/>
  <c r="I287" i="11" s="1"/>
  <c r="G279" i="11"/>
  <c r="G271" i="11"/>
  <c r="I271" i="11" s="1"/>
  <c r="G263" i="11"/>
  <c r="I263" i="11" s="1"/>
  <c r="G255" i="11"/>
  <c r="I255" i="11" s="1"/>
  <c r="G247" i="11"/>
  <c r="I247" i="11" s="1"/>
  <c r="G239" i="11"/>
  <c r="G231" i="11"/>
  <c r="G223" i="11"/>
  <c r="I223" i="11" s="1"/>
  <c r="G211" i="11"/>
  <c r="G195" i="11"/>
  <c r="I195" i="11" s="1"/>
  <c r="G179" i="11"/>
  <c r="I179" i="11" s="1"/>
  <c r="G163" i="11"/>
  <c r="G147" i="11"/>
  <c r="G131" i="11"/>
  <c r="G421" i="11"/>
  <c r="G405" i="11"/>
  <c r="I405" i="11" s="1"/>
  <c r="G115" i="11"/>
  <c r="G107" i="11"/>
  <c r="I107" i="11" s="1"/>
  <c r="G99" i="11"/>
  <c r="G85" i="11"/>
  <c r="I85" i="11" s="1"/>
  <c r="G77" i="11"/>
  <c r="G69" i="11"/>
  <c r="G61" i="11"/>
  <c r="G53" i="11"/>
  <c r="I53" i="11" s="1"/>
  <c r="G45" i="11"/>
  <c r="I45" i="11" s="1"/>
  <c r="G37" i="11"/>
  <c r="G29" i="11"/>
  <c r="G21" i="11"/>
  <c r="G13" i="11"/>
  <c r="I13" i="11" s="1"/>
  <c r="G500" i="11"/>
  <c r="I500" i="11" s="1"/>
  <c r="G845" i="11"/>
  <c r="G830" i="11"/>
  <c r="I830" i="11" s="1"/>
  <c r="G815" i="11"/>
  <c r="I815" i="11" s="1"/>
  <c r="G800" i="11"/>
  <c r="I800" i="11" s="1"/>
  <c r="G785" i="11"/>
  <c r="I785" i="11" s="1"/>
  <c r="G769" i="11"/>
  <c r="G754" i="11"/>
  <c r="G739" i="11"/>
  <c r="G724" i="11"/>
  <c r="I724" i="11" s="1"/>
  <c r="G709" i="11"/>
  <c r="G694" i="11"/>
  <c r="I694" i="11" s="1"/>
  <c r="G678" i="11"/>
  <c r="G662" i="11"/>
  <c r="G646" i="11"/>
  <c r="G492" i="11"/>
  <c r="I492" i="11" s="1"/>
  <c r="G487" i="11"/>
  <c r="G481" i="11"/>
  <c r="I481" i="11" s="1"/>
  <c r="G473" i="11"/>
  <c r="I473" i="11" s="1"/>
  <c r="G465" i="11"/>
  <c r="I465" i="11" s="1"/>
  <c r="G457" i="11"/>
  <c r="G449" i="11"/>
  <c r="G441" i="11"/>
  <c r="G426" i="11"/>
  <c r="I426" i="11" s="1"/>
  <c r="G409" i="11"/>
  <c r="I409" i="11" s="1"/>
  <c r="G399" i="11"/>
  <c r="I399" i="11" s="1"/>
  <c r="G391" i="11"/>
  <c r="I391" i="11" s="1"/>
  <c r="G383" i="11"/>
  <c r="I383" i="11" s="1"/>
  <c r="G375" i="11"/>
  <c r="G367" i="11"/>
  <c r="G358" i="11"/>
  <c r="I358" i="11" s="1"/>
  <c r="G350" i="11"/>
  <c r="I350" i="11" s="1"/>
  <c r="G342" i="11"/>
  <c r="I342" i="11" s="1"/>
  <c r="G334" i="11"/>
  <c r="G326" i="11"/>
  <c r="I326" i="11" s="1"/>
  <c r="G318" i="11"/>
  <c r="G310" i="11"/>
  <c r="G302" i="11"/>
  <c r="G294" i="11"/>
  <c r="I294" i="11" s="1"/>
  <c r="G286" i="11"/>
  <c r="I286" i="11" s="1"/>
  <c r="G278" i="11"/>
  <c r="G270" i="11"/>
  <c r="I270" i="11" s="1"/>
  <c r="G262" i="11"/>
  <c r="I262" i="11" s="1"/>
  <c r="G254" i="11"/>
  <c r="I254" i="11" s="1"/>
  <c r="G246" i="11"/>
  <c r="G238" i="11"/>
  <c r="I238" i="11" s="1"/>
  <c r="G230" i="11"/>
  <c r="G222" i="11"/>
  <c r="I222" i="11" s="1"/>
  <c r="G420" i="11"/>
  <c r="G360" i="11"/>
  <c r="I360" i="11" s="1"/>
  <c r="G122" i="11"/>
  <c r="G114" i="11"/>
  <c r="G106" i="11"/>
  <c r="I106" i="11" s="1"/>
  <c r="G98" i="11"/>
  <c r="G84" i="11"/>
  <c r="I84" i="11" s="1"/>
  <c r="G76" i="11"/>
  <c r="I76" i="11" s="1"/>
  <c r="G68" i="11"/>
  <c r="G60" i="11"/>
  <c r="G52" i="11"/>
  <c r="I52" i="11" s="1"/>
  <c r="G44" i="11"/>
  <c r="I44" i="11" s="1"/>
  <c r="G36" i="11"/>
  <c r="G28" i="11"/>
  <c r="I28" i="11" s="1"/>
  <c r="G20" i="11"/>
  <c r="G12" i="11"/>
  <c r="I12" i="11" s="1"/>
  <c r="G844" i="11"/>
  <c r="G828" i="11"/>
  <c r="I828" i="11" s="1"/>
  <c r="G813" i="11"/>
  <c r="I813" i="11" s="1"/>
  <c r="G798" i="11"/>
  <c r="I798" i="11" s="1"/>
  <c r="G783" i="11"/>
  <c r="I783" i="11" s="1"/>
  <c r="G767" i="11"/>
  <c r="G752" i="11"/>
  <c r="G737" i="11"/>
  <c r="G722" i="11"/>
  <c r="I722" i="11" s="1"/>
  <c r="G707" i="11"/>
  <c r="G691" i="11"/>
  <c r="G676" i="11"/>
  <c r="G660" i="11"/>
  <c r="G644" i="11"/>
  <c r="I644" i="11" s="1"/>
  <c r="G490" i="11"/>
  <c r="G485" i="11"/>
  <c r="G480" i="11"/>
  <c r="I480" i="11" s="1"/>
  <c r="G472" i="11"/>
  <c r="I472" i="11" s="1"/>
  <c r="G464" i="11"/>
  <c r="I464" i="11" s="1"/>
  <c r="G456" i="11"/>
  <c r="G448" i="11"/>
  <c r="G440" i="11"/>
  <c r="G424" i="11"/>
  <c r="I424" i="11" s="1"/>
  <c r="G407" i="11"/>
  <c r="G398" i="11"/>
  <c r="I398" i="11" s="1"/>
  <c r="G390" i="11"/>
  <c r="I390" i="11" s="1"/>
  <c r="G382" i="11"/>
  <c r="G374" i="11"/>
  <c r="G366" i="11"/>
  <c r="G357" i="11"/>
  <c r="I357" i="11" s="1"/>
  <c r="G349" i="11"/>
  <c r="G341" i="11"/>
  <c r="I341" i="11" s="1"/>
  <c r="G333" i="11"/>
  <c r="G325" i="11"/>
  <c r="G317" i="11"/>
  <c r="G309" i="11"/>
  <c r="G301" i="11"/>
  <c r="I301" i="11" s="1"/>
  <c r="G293" i="11"/>
  <c r="G285" i="11"/>
  <c r="I285" i="11" s="1"/>
  <c r="G277" i="11"/>
  <c r="G269" i="11"/>
  <c r="I269" i="11" s="1"/>
  <c r="G261" i="11"/>
  <c r="I261" i="11" s="1"/>
  <c r="G253" i="11"/>
  <c r="G245" i="11"/>
  <c r="G237" i="11"/>
  <c r="I237" i="11" s="1"/>
  <c r="G229" i="11"/>
  <c r="I229" i="11" s="1"/>
  <c r="G221" i="11"/>
  <c r="I221" i="11" s="1"/>
  <c r="G207" i="11"/>
  <c r="I207" i="11" s="1"/>
  <c r="G191" i="11"/>
  <c r="G175" i="11"/>
  <c r="I175" i="11" s="1"/>
  <c r="G159" i="11"/>
  <c r="G143" i="11"/>
  <c r="I143" i="11" s="1"/>
  <c r="G127" i="11"/>
  <c r="I127" i="11" s="1"/>
  <c r="G433" i="11"/>
  <c r="G418" i="11"/>
  <c r="I418" i="11" s="1"/>
  <c r="G121" i="11"/>
  <c r="I121" i="11" s="1"/>
  <c r="G113" i="11"/>
  <c r="G105" i="11"/>
  <c r="G97" i="11"/>
  <c r="G91" i="11"/>
  <c r="I91" i="11" s="1"/>
  <c r="G83" i="11"/>
  <c r="G75" i="11"/>
  <c r="I75" i="11" s="1"/>
  <c r="G67" i="11"/>
  <c r="G59" i="11"/>
  <c r="I59" i="11" s="1"/>
  <c r="G51" i="11"/>
  <c r="G43" i="11"/>
  <c r="I43" i="11" s="1"/>
  <c r="G35" i="11"/>
  <c r="G27" i="11"/>
  <c r="I27" i="11" s="1"/>
  <c r="G19" i="11"/>
  <c r="I19" i="11" s="1"/>
  <c r="G11" i="11"/>
  <c r="G610" i="11"/>
  <c r="G602" i="11"/>
  <c r="I602" i="11" s="1"/>
  <c r="G594" i="11"/>
  <c r="G586" i="11"/>
  <c r="G578" i="11"/>
  <c r="I578" i="11" s="1"/>
  <c r="G570" i="11"/>
  <c r="I570" i="11" s="1"/>
  <c r="G562" i="11"/>
  <c r="G554" i="11"/>
  <c r="I554" i="11" s="1"/>
  <c r="G546" i="11"/>
  <c r="I546" i="11" s="1"/>
  <c r="G538" i="11"/>
  <c r="I538" i="11" s="1"/>
  <c r="G530" i="11"/>
  <c r="G522" i="11"/>
  <c r="G514" i="11"/>
  <c r="G506" i="11"/>
  <c r="I506" i="11" s="1"/>
  <c r="G498" i="11"/>
  <c r="G857" i="11"/>
  <c r="I857" i="11" s="1"/>
  <c r="G842" i="11"/>
  <c r="G827" i="11"/>
  <c r="G812" i="11"/>
  <c r="I812" i="11" s="1"/>
  <c r="G796" i="11"/>
  <c r="G781" i="11"/>
  <c r="I781" i="11" s="1"/>
  <c r="G765" i="11"/>
  <c r="I765" i="11" s="1"/>
  <c r="G750" i="11"/>
  <c r="G735" i="11"/>
  <c r="G720" i="11"/>
  <c r="I720" i="11" s="1"/>
  <c r="G705" i="11"/>
  <c r="G689" i="11"/>
  <c r="I689" i="11" s="1"/>
  <c r="G674" i="11"/>
  <c r="I674" i="11" s="1"/>
  <c r="G658" i="11"/>
  <c r="I658" i="11" s="1"/>
  <c r="G641" i="11"/>
  <c r="G488" i="11"/>
  <c r="G479" i="11"/>
  <c r="I479" i="11" s="1"/>
  <c r="G471" i="11"/>
  <c r="I471" i="11" s="1"/>
  <c r="G463" i="11"/>
  <c r="G455" i="11"/>
  <c r="G447" i="11"/>
  <c r="I447" i="11" s="1"/>
  <c r="G439" i="11"/>
  <c r="G422" i="11"/>
  <c r="G406" i="11"/>
  <c r="I406" i="11" s="1"/>
  <c r="G397" i="11"/>
  <c r="I397" i="11" s="1"/>
  <c r="G389" i="11"/>
  <c r="I389" i="11" s="1"/>
  <c r="G381" i="11"/>
  <c r="G373" i="11"/>
  <c r="G365" i="11"/>
  <c r="G356" i="11"/>
  <c r="I356" i="11" s="1"/>
  <c r="G348" i="11"/>
  <c r="G340" i="11"/>
  <c r="I340" i="11" s="1"/>
  <c r="G332" i="11"/>
  <c r="G324" i="11"/>
  <c r="G316" i="11"/>
  <c r="I316" i="11" s="1"/>
  <c r="G308" i="11"/>
  <c r="I308" i="11" s="1"/>
  <c r="G300" i="11"/>
  <c r="I300" i="11" s="1"/>
  <c r="G292" i="11"/>
  <c r="G284" i="11"/>
  <c r="G276" i="11"/>
  <c r="I276" i="11" s="1"/>
  <c r="G268" i="11"/>
  <c r="I268" i="11" s="1"/>
  <c r="G260" i="11"/>
  <c r="I260" i="11" s="1"/>
  <c r="G252" i="11"/>
  <c r="G244" i="11"/>
  <c r="I244" i="11" s="1"/>
  <c r="G236" i="11"/>
  <c r="I236" i="11" s="1"/>
  <c r="G228" i="11"/>
  <c r="G220" i="11"/>
  <c r="I220" i="11" s="1"/>
  <c r="G431" i="11"/>
  <c r="I431" i="11" s="1"/>
  <c r="G416" i="11"/>
  <c r="G216" i="11"/>
  <c r="G200" i="11"/>
  <c r="G184" i="11"/>
  <c r="I184" i="11" s="1"/>
  <c r="G168" i="11"/>
  <c r="I168" i="11" s="1"/>
  <c r="G152" i="11"/>
  <c r="I152" i="11" s="1"/>
  <c r="G136" i="11"/>
  <c r="I136" i="11" s="1"/>
  <c r="G120" i="11"/>
  <c r="I120" i="11" s="1"/>
  <c r="G112" i="11"/>
  <c r="G104" i="11"/>
  <c r="I104" i="11" s="1"/>
  <c r="G96" i="11"/>
  <c r="G90" i="11"/>
  <c r="I90" i="11" s="1"/>
  <c r="G82" i="11"/>
  <c r="G74" i="11"/>
  <c r="G66" i="11"/>
  <c r="G58" i="11"/>
  <c r="G50" i="11"/>
  <c r="I50" i="11" s="1"/>
  <c r="G42" i="11"/>
  <c r="I42" i="11" s="1"/>
  <c r="G34" i="11"/>
  <c r="G26" i="11"/>
  <c r="I26" i="11" s="1"/>
  <c r="G18" i="11"/>
  <c r="G10" i="11"/>
  <c r="I10" i="11" s="1"/>
  <c r="G513" i="11"/>
  <c r="G505" i="11"/>
  <c r="I505" i="11" s="1"/>
  <c r="G497" i="11"/>
  <c r="I497" i="11" s="1"/>
  <c r="G855" i="11"/>
  <c r="I855" i="11" s="1"/>
  <c r="G840" i="11"/>
  <c r="I840" i="11" s="1"/>
  <c r="G825" i="11"/>
  <c r="G810" i="11"/>
  <c r="G794" i="11"/>
  <c r="I794" i="11" s="1"/>
  <c r="G779" i="11"/>
  <c r="I779" i="11" s="1"/>
  <c r="G763" i="11"/>
  <c r="I763" i="11" s="1"/>
  <c r="G748" i="11"/>
  <c r="G733" i="11"/>
  <c r="G718" i="11"/>
  <c r="I718" i="11" s="1"/>
  <c r="G703" i="11"/>
  <c r="G687" i="11"/>
  <c r="I687" i="11" s="1"/>
  <c r="G672" i="11"/>
  <c r="I672" i="11" s="1"/>
  <c r="G655" i="11"/>
  <c r="G623" i="11"/>
  <c r="G486" i="11"/>
  <c r="G478" i="11"/>
  <c r="I478" i="11" s="1"/>
  <c r="G470" i="11"/>
  <c r="I470" i="11" s="1"/>
  <c r="G462" i="11"/>
  <c r="G454" i="11"/>
  <c r="I454" i="11" s="1"/>
  <c r="G446" i="11"/>
  <c r="I446" i="11" s="1"/>
  <c r="G438" i="11"/>
  <c r="I438" i="11" s="1"/>
  <c r="G435" i="11"/>
  <c r="G419" i="11"/>
  <c r="I419" i="11" s="1"/>
  <c r="G404" i="11"/>
  <c r="I404" i="11" s="1"/>
  <c r="G396" i="11"/>
  <c r="I396" i="11" s="1"/>
  <c r="G388" i="11"/>
  <c r="I388" i="11" s="1"/>
  <c r="G380" i="11"/>
  <c r="G372" i="11"/>
  <c r="G364" i="11"/>
  <c r="G355" i="11"/>
  <c r="I355" i="11" s="1"/>
  <c r="G347" i="11"/>
  <c r="G339" i="11"/>
  <c r="I339" i="11" s="1"/>
  <c r="G331" i="11"/>
  <c r="I331" i="11" s="1"/>
  <c r="G323" i="11"/>
  <c r="G315" i="11"/>
  <c r="I315" i="11" s="1"/>
  <c r="G307" i="11"/>
  <c r="I307" i="11" s="1"/>
  <c r="G299" i="11"/>
  <c r="I299" i="11" s="1"/>
  <c r="G291" i="11"/>
  <c r="I291" i="11" s="1"/>
  <c r="G283" i="11"/>
  <c r="I283" i="11" s="1"/>
  <c r="G275" i="11"/>
  <c r="I275" i="11" s="1"/>
  <c r="G267" i="11"/>
  <c r="I267" i="11" s="1"/>
  <c r="G259" i="11"/>
  <c r="I259" i="11" s="1"/>
  <c r="G251" i="11"/>
  <c r="G243" i="11"/>
  <c r="I243" i="11" s="1"/>
  <c r="G235" i="11"/>
  <c r="G227" i="11"/>
  <c r="G219" i="11"/>
  <c r="I219" i="11" s="1"/>
  <c r="G203" i="11"/>
  <c r="G187" i="11"/>
  <c r="G171" i="11"/>
  <c r="G155" i="11"/>
  <c r="I155" i="11" s="1"/>
  <c r="G139" i="11"/>
  <c r="I139" i="11" s="1"/>
  <c r="G123" i="11"/>
  <c r="G429" i="11"/>
  <c r="G414" i="11"/>
  <c r="I414" i="11" s="1"/>
  <c r="G119" i="11"/>
  <c r="I119" i="11" s="1"/>
  <c r="G111" i="11"/>
  <c r="I111" i="11" s="1"/>
  <c r="G103" i="11"/>
  <c r="G95" i="11"/>
  <c r="G89" i="11"/>
  <c r="I89" i="11" s="1"/>
  <c r="G81" i="11"/>
  <c r="G73" i="11"/>
  <c r="G65" i="11"/>
  <c r="G57" i="11"/>
  <c r="G49" i="11"/>
  <c r="I49" i="11" s="1"/>
  <c r="G41" i="11"/>
  <c r="I41" i="11" s="1"/>
  <c r="G33" i="11"/>
  <c r="G25" i="11"/>
  <c r="G17" i="11"/>
  <c r="I17" i="11" s="1"/>
  <c r="G9" i="11"/>
  <c r="I9" i="11" s="1"/>
  <c r="G504" i="11"/>
  <c r="G853" i="11"/>
  <c r="I853" i="11" s="1"/>
  <c r="G838" i="11"/>
  <c r="I838" i="11" s="1"/>
  <c r="G823" i="11"/>
  <c r="G808" i="11"/>
  <c r="G792" i="11"/>
  <c r="I792" i="11" s="1"/>
  <c r="G777" i="11"/>
  <c r="I777" i="11" s="1"/>
  <c r="G761" i="11"/>
  <c r="I761" i="11" s="1"/>
  <c r="G746" i="11"/>
  <c r="G731" i="11"/>
  <c r="G716" i="11"/>
  <c r="I716" i="11" s="1"/>
  <c r="G701" i="11"/>
  <c r="G685" i="11"/>
  <c r="G670" i="11"/>
  <c r="I670" i="11" s="1"/>
  <c r="G653" i="11"/>
  <c r="G484" i="11"/>
  <c r="G495" i="11"/>
  <c r="I495" i="11" s="1"/>
  <c r="G477" i="11"/>
  <c r="I477" i="11" s="1"/>
  <c r="G469" i="11"/>
  <c r="I469" i="11" s="1"/>
  <c r="G461" i="11"/>
  <c r="G453" i="11"/>
  <c r="I453" i="11" s="1"/>
  <c r="G445" i="11"/>
  <c r="I445" i="11" s="1"/>
  <c r="G437" i="11"/>
  <c r="I437" i="11" s="1"/>
  <c r="G434" i="11"/>
  <c r="G417" i="11"/>
  <c r="G403" i="11"/>
  <c r="I403" i="11" s="1"/>
  <c r="G395" i="11"/>
  <c r="I395" i="11" s="1"/>
  <c r="G387" i="11"/>
  <c r="I387" i="11" s="1"/>
  <c r="G379" i="11"/>
  <c r="G371" i="11"/>
  <c r="G363" i="11"/>
  <c r="G354" i="11"/>
  <c r="I354" i="11" s="1"/>
  <c r="G346" i="11"/>
  <c r="I346" i="11" s="1"/>
  <c r="G338" i="11"/>
  <c r="I338" i="11" s="1"/>
  <c r="G330" i="11"/>
  <c r="I330" i="11" s="1"/>
  <c r="G322" i="11"/>
  <c r="I322" i="11" s="1"/>
  <c r="G314" i="11"/>
  <c r="I314" i="11" s="1"/>
  <c r="G306" i="11"/>
  <c r="I306" i="11" s="1"/>
  <c r="G298" i="11"/>
  <c r="I298" i="11" s="1"/>
  <c r="G290" i="11"/>
  <c r="I290" i="11" s="1"/>
  <c r="G282" i="11"/>
  <c r="I282" i="11" s="1"/>
  <c r="G274" i="11"/>
  <c r="I274" i="11" s="1"/>
  <c r="G266" i="11"/>
  <c r="G258" i="11"/>
  <c r="I258" i="11" s="1"/>
  <c r="G250" i="11"/>
  <c r="I250" i="11" s="1"/>
  <c r="G242" i="11"/>
  <c r="G234" i="11"/>
  <c r="G226" i="11"/>
  <c r="I226" i="11" s="1"/>
  <c r="G427" i="11"/>
  <c r="I427" i="11" s="1"/>
  <c r="G412" i="11"/>
  <c r="I412" i="11" s="1"/>
  <c r="G118" i="11"/>
  <c r="I118" i="11" s="1"/>
  <c r="G110" i="11"/>
  <c r="I110" i="11" s="1"/>
  <c r="G102" i="11"/>
  <c r="G94" i="11"/>
  <c r="G88" i="11"/>
  <c r="I88" i="11" s="1"/>
  <c r="G80" i="11"/>
  <c r="G72" i="11"/>
  <c r="G64" i="11"/>
  <c r="G56" i="11"/>
  <c r="G48" i="11"/>
  <c r="I48" i="11" s="1"/>
  <c r="G40" i="11"/>
  <c r="I40" i="11" s="1"/>
  <c r="G32" i="11"/>
  <c r="G24" i="11"/>
  <c r="G16" i="11"/>
  <c r="I16" i="11" s="1"/>
  <c r="G8" i="11"/>
  <c r="I8" i="11" s="1"/>
  <c r="G551" i="11"/>
  <c r="I551" i="11" s="1"/>
  <c r="G543" i="11"/>
  <c r="I543" i="11" s="1"/>
  <c r="G535" i="11"/>
  <c r="I535" i="11" s="1"/>
  <c r="G527" i="11"/>
  <c r="G519" i="11"/>
  <c r="I519" i="11" s="1"/>
  <c r="G511" i="11"/>
  <c r="I511" i="11" s="1"/>
  <c r="G503" i="11"/>
  <c r="G851" i="11"/>
  <c r="I851" i="11" s="1"/>
  <c r="G836" i="11"/>
  <c r="I836" i="11" s="1"/>
  <c r="G821" i="11"/>
  <c r="G806" i="11"/>
  <c r="G790" i="11"/>
  <c r="G775" i="11"/>
  <c r="I775" i="11" s="1"/>
  <c r="G759" i="11"/>
  <c r="I759" i="11" s="1"/>
  <c r="G744" i="11"/>
  <c r="G729" i="11"/>
  <c r="I729" i="11" s="1"/>
  <c r="G714" i="11"/>
  <c r="G699" i="11"/>
  <c r="G683" i="11"/>
  <c r="G667" i="11"/>
  <c r="I667" i="11" s="1"/>
  <c r="G651" i="11"/>
  <c r="I651" i="11" s="1"/>
  <c r="G493" i="11"/>
  <c r="I493" i="11" s="1"/>
  <c r="G476" i="11"/>
  <c r="I476" i="11" s="1"/>
  <c r="G468" i="11"/>
  <c r="G460" i="11"/>
  <c r="G452" i="11"/>
  <c r="I452" i="11" s="1"/>
  <c r="G444" i="11"/>
  <c r="I444" i="11" s="1"/>
  <c r="G436" i="11"/>
  <c r="I436" i="11" s="1"/>
  <c r="G432" i="11"/>
  <c r="I432" i="11" s="1"/>
  <c r="G415" i="11"/>
  <c r="I415" i="11" s="1"/>
  <c r="G402" i="11"/>
  <c r="I402" i="11" s="1"/>
  <c r="G394" i="11"/>
  <c r="I394" i="11" s="1"/>
  <c r="G386" i="11"/>
  <c r="I386" i="11" s="1"/>
  <c r="G378" i="11"/>
  <c r="G370" i="11"/>
  <c r="G362" i="11"/>
  <c r="G353" i="11"/>
  <c r="G345" i="11"/>
  <c r="I345" i="11" s="1"/>
  <c r="G337" i="11"/>
  <c r="I337" i="11" s="1"/>
  <c r="G329" i="11"/>
  <c r="I329" i="11" s="1"/>
  <c r="G321" i="11"/>
  <c r="I321" i="11" s="1"/>
  <c r="G313" i="11"/>
  <c r="G305" i="11"/>
  <c r="I305" i="11" s="1"/>
  <c r="G297" i="11"/>
  <c r="I297" i="11" s="1"/>
  <c r="G289" i="11"/>
  <c r="I289" i="11" s="1"/>
  <c r="G281" i="11"/>
  <c r="I281" i="11" s="1"/>
  <c r="G273" i="11"/>
  <c r="I273" i="11" s="1"/>
  <c r="G265" i="11"/>
  <c r="I265" i="11" s="1"/>
  <c r="G257" i="11"/>
  <c r="I257" i="11" s="1"/>
  <c r="G249" i="11"/>
  <c r="I249" i="11" s="1"/>
  <c r="G241" i="11"/>
  <c r="G233" i="11"/>
  <c r="G225" i="11"/>
  <c r="I225" i="11" s="1"/>
  <c r="G215" i="11"/>
  <c r="G199" i="11"/>
  <c r="I199" i="11" s="1"/>
  <c r="G183" i="11"/>
  <c r="G167" i="11"/>
  <c r="G151" i="11"/>
  <c r="G135" i="11"/>
  <c r="I135" i="11" s="1"/>
  <c r="G425" i="11"/>
  <c r="I425" i="11" s="1"/>
  <c r="G410" i="11"/>
  <c r="I410" i="11" s="1"/>
  <c r="G117" i="11"/>
  <c r="I117" i="11" s="1"/>
  <c r="G109" i="11"/>
  <c r="G101" i="11"/>
  <c r="G93" i="11"/>
  <c r="G87" i="11"/>
  <c r="I87" i="11" s="1"/>
  <c r="G79" i="11"/>
  <c r="G71" i="11"/>
  <c r="G63" i="11"/>
  <c r="G55" i="11"/>
  <c r="I55" i="11" s="1"/>
  <c r="G47" i="11"/>
  <c r="G39" i="11"/>
  <c r="I39" i="11" s="1"/>
  <c r="G31" i="11"/>
  <c r="G23" i="11"/>
  <c r="G15" i="11"/>
  <c r="I15" i="11" s="1"/>
  <c r="G7" i="11"/>
  <c r="I7" i="11" s="1"/>
  <c r="I181" i="11"/>
  <c r="I149" i="11"/>
  <c r="B6" i="11"/>
  <c r="I213" i="11" l="1"/>
  <c r="H149" i="11"/>
  <c r="I201" i="11"/>
  <c r="I137" i="11"/>
  <c r="H129" i="11"/>
  <c r="H161" i="11"/>
  <c r="I153" i="11"/>
  <c r="I193" i="11"/>
  <c r="H217" i="11"/>
  <c r="I189" i="11"/>
  <c r="H189" i="11"/>
  <c r="I141" i="11"/>
  <c r="H141" i="11"/>
  <c r="H173" i="11"/>
  <c r="I173" i="11"/>
  <c r="I218" i="11"/>
  <c r="I202" i="11"/>
  <c r="H202" i="11"/>
  <c r="I170" i="11"/>
  <c r="I214" i="11"/>
  <c r="H214" i="11"/>
  <c r="H130" i="11"/>
  <c r="I130" i="11"/>
  <c r="I210" i="11"/>
  <c r="H142" i="11"/>
  <c r="I142" i="11"/>
  <c r="H150" i="11"/>
  <c r="I150" i="11"/>
  <c r="H162" i="11"/>
  <c r="I162" i="11"/>
  <c r="H206" i="11"/>
  <c r="I206" i="11"/>
  <c r="I182" i="11"/>
  <c r="H182" i="11"/>
  <c r="H31" i="11"/>
  <c r="I31" i="11"/>
  <c r="I35" i="11"/>
  <c r="H35" i="11"/>
  <c r="I51" i="11"/>
  <c r="H51" i="11"/>
  <c r="I67" i="11"/>
  <c r="H67" i="11"/>
  <c r="I83" i="11"/>
  <c r="H83" i="11"/>
  <c r="H97" i="11"/>
  <c r="I97" i="11"/>
  <c r="H113" i="11"/>
  <c r="I113" i="11"/>
  <c r="H167" i="11"/>
  <c r="I167" i="11"/>
  <c r="H241" i="11"/>
  <c r="I241" i="11"/>
  <c r="I353" i="11"/>
  <c r="H353" i="11"/>
  <c r="I370" i="11"/>
  <c r="H60" i="11"/>
  <c r="I60" i="11"/>
  <c r="H94" i="11"/>
  <c r="I94" i="11"/>
  <c r="I124" i="11"/>
  <c r="I156" i="11"/>
  <c r="I188" i="11"/>
  <c r="H188" i="11"/>
  <c r="H302" i="11"/>
  <c r="I302" i="11"/>
  <c r="I318" i="11"/>
  <c r="H318" i="11"/>
  <c r="H334" i="11"/>
  <c r="I334" i="11"/>
  <c r="H367" i="11"/>
  <c r="I367" i="11"/>
  <c r="I25" i="11"/>
  <c r="H25" i="11"/>
  <c r="I57" i="11"/>
  <c r="H73" i="11"/>
  <c r="I73" i="11"/>
  <c r="I123" i="11"/>
  <c r="I187" i="11"/>
  <c r="H187" i="11"/>
  <c r="I235" i="11"/>
  <c r="H235" i="11"/>
  <c r="I251" i="11"/>
  <c r="I347" i="11"/>
  <c r="I364" i="11"/>
  <c r="H364" i="11"/>
  <c r="I58" i="11"/>
  <c r="H74" i="11"/>
  <c r="I74" i="11"/>
  <c r="I216" i="11"/>
  <c r="H216" i="11"/>
  <c r="I280" i="11"/>
  <c r="H280" i="11"/>
  <c r="I312" i="11"/>
  <c r="I344" i="11"/>
  <c r="H361" i="11"/>
  <c r="I361" i="11"/>
  <c r="I377" i="11"/>
  <c r="I440" i="11"/>
  <c r="H440" i="11"/>
  <c r="H456" i="11"/>
  <c r="I456" i="11"/>
  <c r="I660" i="11"/>
  <c r="H660" i="11"/>
  <c r="I691" i="11"/>
  <c r="H752" i="11"/>
  <c r="I752" i="11"/>
  <c r="H844" i="11"/>
  <c r="I844" i="11"/>
  <c r="H507" i="11"/>
  <c r="I507" i="11"/>
  <c r="I523" i="11"/>
  <c r="I434" i="11"/>
  <c r="H434" i="11"/>
  <c r="I449" i="11"/>
  <c r="H449" i="11"/>
  <c r="H701" i="11"/>
  <c r="I701" i="11"/>
  <c r="I731" i="11"/>
  <c r="I823" i="11"/>
  <c r="I512" i="11"/>
  <c r="I528" i="11"/>
  <c r="I560" i="11"/>
  <c r="I576" i="11"/>
  <c r="I592" i="11"/>
  <c r="H592" i="11"/>
  <c r="I435" i="11"/>
  <c r="H435" i="11"/>
  <c r="I450" i="11"/>
  <c r="H450" i="11"/>
  <c r="H482" i="11"/>
  <c r="I482" i="11"/>
  <c r="I623" i="11"/>
  <c r="H703" i="11"/>
  <c r="I703" i="11"/>
  <c r="H733" i="11"/>
  <c r="I733" i="11"/>
  <c r="I825" i="11"/>
  <c r="H509" i="11"/>
  <c r="I509" i="11"/>
  <c r="I525" i="11"/>
  <c r="I467" i="11"/>
  <c r="H467" i="11"/>
  <c r="I483" i="11"/>
  <c r="I641" i="11"/>
  <c r="I705" i="11"/>
  <c r="H735" i="11"/>
  <c r="I735" i="11"/>
  <c r="I796" i="11"/>
  <c r="H796" i="11"/>
  <c r="I827" i="11"/>
  <c r="I510" i="11"/>
  <c r="H510" i="11"/>
  <c r="I526" i="11"/>
  <c r="I574" i="11"/>
  <c r="I628" i="11"/>
  <c r="I647" i="11"/>
  <c r="I679" i="11"/>
  <c r="I713" i="11"/>
  <c r="I747" i="11"/>
  <c r="H747" i="11"/>
  <c r="I625" i="11"/>
  <c r="I642" i="11"/>
  <c r="H706" i="11"/>
  <c r="I706" i="11"/>
  <c r="H741" i="11"/>
  <c r="I741" i="11"/>
  <c r="I774" i="11"/>
  <c r="I807" i="11"/>
  <c r="I626" i="11"/>
  <c r="I643" i="11"/>
  <c r="I708" i="11"/>
  <c r="H708" i="11"/>
  <c r="H743" i="11"/>
  <c r="I743" i="11"/>
  <c r="H809" i="11"/>
  <c r="I809" i="11"/>
  <c r="H843" i="11"/>
  <c r="I843" i="11"/>
  <c r="H618" i="11"/>
  <c r="I618" i="11"/>
  <c r="I635" i="11"/>
  <c r="I661" i="11"/>
  <c r="H661" i="11"/>
  <c r="I728" i="11"/>
  <c r="I829" i="11"/>
  <c r="I79" i="11"/>
  <c r="H79" i="11"/>
  <c r="I71" i="11"/>
  <c r="H71" i="11"/>
  <c r="I101" i="11"/>
  <c r="H101" i="11"/>
  <c r="I245" i="11"/>
  <c r="H245" i="11"/>
  <c r="I277" i="11"/>
  <c r="I293" i="11"/>
  <c r="H293" i="11"/>
  <c r="I309" i="11"/>
  <c r="H309" i="11"/>
  <c r="I325" i="11"/>
  <c r="H325" i="11"/>
  <c r="I374" i="11"/>
  <c r="I32" i="11"/>
  <c r="H32" i="11"/>
  <c r="I64" i="11"/>
  <c r="H64" i="11"/>
  <c r="H80" i="11"/>
  <c r="I80" i="11"/>
  <c r="I98" i="11"/>
  <c r="H98" i="11"/>
  <c r="H114" i="11"/>
  <c r="I114" i="11"/>
  <c r="I242" i="11"/>
  <c r="H371" i="11"/>
  <c r="I371" i="11"/>
  <c r="H29" i="11"/>
  <c r="I29" i="11"/>
  <c r="H61" i="11"/>
  <c r="I61" i="11"/>
  <c r="I77" i="11"/>
  <c r="H77" i="11"/>
  <c r="I95" i="11"/>
  <c r="H95" i="11"/>
  <c r="I131" i="11"/>
  <c r="H131" i="11"/>
  <c r="H163" i="11"/>
  <c r="I163" i="11"/>
  <c r="I239" i="11"/>
  <c r="I303" i="11"/>
  <c r="I368" i="11"/>
  <c r="H368" i="11"/>
  <c r="H30" i="11"/>
  <c r="I30" i="11"/>
  <c r="I46" i="11"/>
  <c r="H46" i="11"/>
  <c r="H62" i="11"/>
  <c r="I62" i="11"/>
  <c r="H160" i="11"/>
  <c r="I160" i="11"/>
  <c r="H192" i="11"/>
  <c r="I192" i="11"/>
  <c r="I408" i="11"/>
  <c r="I252" i="11"/>
  <c r="I284" i="11"/>
  <c r="H284" i="11"/>
  <c r="I332" i="11"/>
  <c r="H332" i="11"/>
  <c r="I348" i="11"/>
  <c r="I365" i="11"/>
  <c r="H382" i="11"/>
  <c r="I382" i="11"/>
  <c r="I460" i="11"/>
  <c r="H460" i="11"/>
  <c r="I490" i="11"/>
  <c r="I699" i="11"/>
  <c r="H699" i="11"/>
  <c r="I790" i="11"/>
  <c r="H790" i="11"/>
  <c r="I821" i="11"/>
  <c r="I527" i="11"/>
  <c r="H575" i="11"/>
  <c r="I575" i="11"/>
  <c r="H487" i="11"/>
  <c r="I487" i="11"/>
  <c r="I646" i="11"/>
  <c r="I678" i="11"/>
  <c r="I709" i="11"/>
  <c r="I739" i="11"/>
  <c r="H739" i="11"/>
  <c r="I769" i="11"/>
  <c r="H564" i="11"/>
  <c r="I564" i="11"/>
  <c r="I580" i="11"/>
  <c r="I596" i="11"/>
  <c r="I612" i="11"/>
  <c r="H612" i="11"/>
  <c r="H489" i="11"/>
  <c r="I489" i="11"/>
  <c r="I680" i="11"/>
  <c r="I711" i="11"/>
  <c r="I740" i="11"/>
  <c r="I771" i="11"/>
  <c r="I513" i="11"/>
  <c r="H513" i="11"/>
  <c r="I529" i="11"/>
  <c r="H545" i="11"/>
  <c r="I545" i="11"/>
  <c r="I561" i="11"/>
  <c r="I593" i="11"/>
  <c r="H593" i="11"/>
  <c r="I439" i="11"/>
  <c r="H455" i="11"/>
  <c r="I455" i="11"/>
  <c r="I491" i="11"/>
  <c r="H491" i="11"/>
  <c r="I682" i="11"/>
  <c r="I712" i="11"/>
  <c r="I742" i="11"/>
  <c r="I773" i="11"/>
  <c r="H498" i="11"/>
  <c r="I498" i="11"/>
  <c r="H514" i="11"/>
  <c r="I514" i="11"/>
  <c r="I530" i="11"/>
  <c r="I562" i="11"/>
  <c r="I594" i="11"/>
  <c r="H594" i="11"/>
  <c r="I615" i="11"/>
  <c r="H615" i="11"/>
  <c r="H632" i="11"/>
  <c r="I632" i="11"/>
  <c r="H656" i="11"/>
  <c r="I656" i="11"/>
  <c r="H755" i="11"/>
  <c r="I755" i="11"/>
  <c r="H789" i="11"/>
  <c r="I789" i="11"/>
  <c r="I822" i="11"/>
  <c r="I629" i="11"/>
  <c r="I681" i="11"/>
  <c r="I715" i="11"/>
  <c r="H749" i="11"/>
  <c r="I749" i="11"/>
  <c r="I630" i="11"/>
  <c r="I684" i="11"/>
  <c r="H751" i="11"/>
  <c r="I751" i="11"/>
  <c r="I818" i="11"/>
  <c r="I622" i="11"/>
  <c r="I639" i="11"/>
  <c r="H702" i="11"/>
  <c r="I702" i="11"/>
  <c r="I736" i="11"/>
  <c r="H736" i="11"/>
  <c r="I770" i="11"/>
  <c r="I63" i="11"/>
  <c r="H63" i="11"/>
  <c r="I109" i="11"/>
  <c r="H23" i="11"/>
  <c r="I23" i="11"/>
  <c r="I11" i="11"/>
  <c r="H105" i="11"/>
  <c r="I105" i="11"/>
  <c r="H433" i="11"/>
  <c r="I433" i="11"/>
  <c r="H151" i="11"/>
  <c r="I151" i="11"/>
  <c r="I183" i="11"/>
  <c r="H183" i="11"/>
  <c r="I215" i="11"/>
  <c r="H215" i="11"/>
  <c r="I233" i="11"/>
  <c r="H233" i="11"/>
  <c r="I313" i="11"/>
  <c r="H362" i="11"/>
  <c r="I362" i="11"/>
  <c r="I378" i="11"/>
  <c r="H20" i="11"/>
  <c r="I20" i="11"/>
  <c r="H36" i="11"/>
  <c r="I36" i="11"/>
  <c r="H68" i="11"/>
  <c r="I68" i="11"/>
  <c r="I102" i="11"/>
  <c r="H102" i="11"/>
  <c r="H140" i="11"/>
  <c r="I140" i="11"/>
  <c r="I172" i="11"/>
  <c r="I420" i="11"/>
  <c r="I230" i="11"/>
  <c r="H246" i="11"/>
  <c r="I246" i="11"/>
  <c r="I278" i="11"/>
  <c r="H310" i="11"/>
  <c r="I310" i="11"/>
  <c r="I375" i="11"/>
  <c r="H33" i="11"/>
  <c r="I33" i="11"/>
  <c r="H65" i="11"/>
  <c r="I65" i="11"/>
  <c r="I81" i="11"/>
  <c r="H81" i="11"/>
  <c r="I99" i="11"/>
  <c r="H99" i="11"/>
  <c r="H115" i="11"/>
  <c r="I115" i="11"/>
  <c r="I421" i="11"/>
  <c r="I171" i="11"/>
  <c r="I203" i="11"/>
  <c r="H203" i="11"/>
  <c r="I227" i="11"/>
  <c r="H323" i="11"/>
  <c r="I323" i="11"/>
  <c r="I372" i="11"/>
  <c r="H372" i="11"/>
  <c r="I18" i="11"/>
  <c r="H34" i="11"/>
  <c r="I34" i="11"/>
  <c r="I66" i="11"/>
  <c r="H66" i="11"/>
  <c r="H82" i="11"/>
  <c r="I82" i="11"/>
  <c r="I96" i="11"/>
  <c r="H96" i="11"/>
  <c r="I112" i="11"/>
  <c r="H112" i="11"/>
  <c r="I200" i="11"/>
  <c r="I416" i="11"/>
  <c r="H224" i="11"/>
  <c r="I224" i="11"/>
  <c r="H240" i="11"/>
  <c r="I240" i="11"/>
  <c r="H369" i="11"/>
  <c r="I369" i="11"/>
  <c r="I448" i="11"/>
  <c r="I676" i="11"/>
  <c r="I707" i="11"/>
  <c r="H707" i="11"/>
  <c r="H737" i="11"/>
  <c r="I737" i="11"/>
  <c r="I767" i="11"/>
  <c r="H767" i="11"/>
  <c r="I499" i="11"/>
  <c r="H499" i="11"/>
  <c r="I563" i="11"/>
  <c r="H563" i="11"/>
  <c r="I595" i="11"/>
  <c r="H611" i="11"/>
  <c r="I611" i="11"/>
  <c r="H417" i="11"/>
  <c r="I417" i="11"/>
  <c r="H441" i="11"/>
  <c r="I441" i="11"/>
  <c r="I457" i="11"/>
  <c r="H457" i="11"/>
  <c r="I653" i="11"/>
  <c r="H653" i="11"/>
  <c r="I685" i="11"/>
  <c r="I746" i="11"/>
  <c r="H808" i="11"/>
  <c r="I808" i="11"/>
  <c r="I504" i="11"/>
  <c r="H520" i="11"/>
  <c r="I520" i="11"/>
  <c r="I536" i="11"/>
  <c r="I584" i="11"/>
  <c r="I380" i="11"/>
  <c r="I458" i="11"/>
  <c r="H458" i="11"/>
  <c r="I486" i="11"/>
  <c r="H655" i="11"/>
  <c r="I655" i="11"/>
  <c r="H748" i="11"/>
  <c r="I748" i="11"/>
  <c r="I810" i="11"/>
  <c r="I565" i="11"/>
  <c r="H565" i="11"/>
  <c r="I581" i="11"/>
  <c r="I597" i="11"/>
  <c r="H613" i="11"/>
  <c r="I613" i="11"/>
  <c r="H459" i="11"/>
  <c r="I459" i="11"/>
  <c r="H488" i="11"/>
  <c r="I488" i="11"/>
  <c r="I750" i="11"/>
  <c r="I842" i="11"/>
  <c r="H842" i="11"/>
  <c r="H502" i="11"/>
  <c r="I502" i="11"/>
  <c r="I566" i="11"/>
  <c r="I582" i="11"/>
  <c r="I598" i="11"/>
  <c r="I619" i="11"/>
  <c r="H619" i="11"/>
  <c r="I636" i="11"/>
  <c r="I797" i="11"/>
  <c r="H797" i="11"/>
  <c r="I690" i="11"/>
  <c r="I723" i="11"/>
  <c r="I824" i="11"/>
  <c r="H617" i="11"/>
  <c r="I617" i="11"/>
  <c r="I634" i="11"/>
  <c r="I659" i="11"/>
  <c r="H659" i="11"/>
  <c r="I692" i="11"/>
  <c r="I826" i="11"/>
  <c r="H610" i="11"/>
  <c r="I610" i="11"/>
  <c r="I627" i="11"/>
  <c r="I677" i="11"/>
  <c r="I710" i="11"/>
  <c r="I745" i="11"/>
  <c r="I811" i="11"/>
  <c r="I846" i="11"/>
  <c r="H47" i="11"/>
  <c r="I47" i="11"/>
  <c r="H93" i="11"/>
  <c r="I93" i="11"/>
  <c r="I159" i="11"/>
  <c r="I191" i="11"/>
  <c r="H191" i="11"/>
  <c r="H253" i="11"/>
  <c r="I253" i="11"/>
  <c r="I317" i="11"/>
  <c r="H317" i="11"/>
  <c r="I333" i="11"/>
  <c r="H333" i="11"/>
  <c r="I349" i="11"/>
  <c r="I366" i="11"/>
  <c r="H366" i="11"/>
  <c r="I24" i="11"/>
  <c r="H24" i="11"/>
  <c r="I56" i="11"/>
  <c r="H72" i="11"/>
  <c r="I72" i="11"/>
  <c r="I122" i="11"/>
  <c r="I148" i="11"/>
  <c r="I212" i="11"/>
  <c r="H212" i="11"/>
  <c r="H234" i="11"/>
  <c r="I234" i="11"/>
  <c r="H266" i="11"/>
  <c r="I266" i="11"/>
  <c r="I363" i="11"/>
  <c r="H363" i="11"/>
  <c r="I379" i="11"/>
  <c r="I21" i="11"/>
  <c r="H21" i="11"/>
  <c r="H37" i="11"/>
  <c r="I37" i="11"/>
  <c r="I69" i="11"/>
  <c r="H69" i="11"/>
  <c r="I103" i="11"/>
  <c r="H429" i="11"/>
  <c r="I429" i="11"/>
  <c r="I147" i="11"/>
  <c r="H211" i="11"/>
  <c r="I211" i="11"/>
  <c r="I231" i="11"/>
  <c r="I279" i="11"/>
  <c r="H279" i="11"/>
  <c r="I311" i="11"/>
  <c r="H311" i="11"/>
  <c r="I343" i="11"/>
  <c r="I376" i="11"/>
  <c r="H22" i="11"/>
  <c r="I22" i="11"/>
  <c r="H38" i="11"/>
  <c r="I38" i="11"/>
  <c r="I70" i="11"/>
  <c r="H70" i="11"/>
  <c r="I100" i="11"/>
  <c r="H100" i="11"/>
  <c r="I208" i="11"/>
  <c r="H228" i="11"/>
  <c r="I228" i="11"/>
  <c r="I292" i="11"/>
  <c r="H292" i="11"/>
  <c r="I324" i="11"/>
  <c r="H324" i="11"/>
  <c r="H373" i="11"/>
  <c r="I373" i="11"/>
  <c r="I407" i="11"/>
  <c r="I468" i="11"/>
  <c r="H468" i="11"/>
  <c r="I485" i="11"/>
  <c r="I683" i="11"/>
  <c r="I714" i="11"/>
  <c r="I744" i="11"/>
  <c r="I806" i="11"/>
  <c r="H503" i="11"/>
  <c r="I503" i="11"/>
  <c r="I583" i="11"/>
  <c r="H461" i="11"/>
  <c r="I461" i="11"/>
  <c r="I484" i="11"/>
  <c r="I662" i="11"/>
  <c r="H662" i="11"/>
  <c r="H754" i="11"/>
  <c r="I754" i="11"/>
  <c r="I845" i="11"/>
  <c r="H845" i="11"/>
  <c r="H508" i="11"/>
  <c r="I508" i="11"/>
  <c r="I524" i="11"/>
  <c r="H540" i="11"/>
  <c r="I540" i="11"/>
  <c r="I462" i="11"/>
  <c r="H462" i="11"/>
  <c r="I756" i="11"/>
  <c r="H756" i="11"/>
  <c r="I817" i="11"/>
  <c r="I521" i="11"/>
  <c r="I537" i="11"/>
  <c r="I585" i="11"/>
  <c r="I381" i="11"/>
  <c r="H381" i="11"/>
  <c r="I422" i="11"/>
  <c r="I463" i="11"/>
  <c r="I788" i="11"/>
  <c r="H788" i="11"/>
  <c r="I819" i="11"/>
  <c r="I522" i="11"/>
  <c r="I586" i="11"/>
  <c r="I624" i="11"/>
  <c r="I640" i="11"/>
  <c r="H704" i="11"/>
  <c r="I704" i="11"/>
  <c r="H738" i="11"/>
  <c r="I738" i="11"/>
  <c r="I772" i="11"/>
  <c r="I620" i="11"/>
  <c r="I637" i="11"/>
  <c r="H766" i="11"/>
  <c r="I766" i="11"/>
  <c r="I621" i="11"/>
  <c r="I700" i="11"/>
  <c r="H700" i="11"/>
  <c r="H734" i="11"/>
  <c r="I734" i="11"/>
  <c r="H768" i="11"/>
  <c r="I768" i="11"/>
  <c r="H614" i="11"/>
  <c r="I614" i="11"/>
  <c r="I631" i="11"/>
  <c r="H631" i="11"/>
  <c r="I654" i="11"/>
  <c r="H654" i="11"/>
  <c r="I753" i="11"/>
  <c r="H753" i="11"/>
  <c r="I820" i="11"/>
  <c r="B2" i="15" a="1"/>
  <c r="B2" i="15" s="1"/>
  <c r="S7" i="13" l="1"/>
  <c r="T24" i="13"/>
  <c r="F855" i="13"/>
  <c r="G855" i="13" s="1"/>
  <c r="E3" i="13"/>
  <c r="S9" i="13"/>
  <c r="S10" i="13"/>
  <c r="S11" i="13"/>
  <c r="S12" i="13"/>
  <c r="S13" i="13"/>
  <c r="S14" i="13"/>
  <c r="S15" i="13"/>
  <c r="S16" i="13"/>
  <c r="S17" i="13"/>
  <c r="S18" i="13"/>
  <c r="S19" i="13"/>
  <c r="S20" i="13"/>
  <c r="S21" i="13"/>
  <c r="S22" i="13"/>
  <c r="S23" i="13"/>
  <c r="S24" i="13"/>
  <c r="T23" i="13" s="1"/>
  <c r="S8" i="13"/>
  <c r="T14" i="13" l="1"/>
  <c r="U14" i="13" s="1"/>
  <c r="T17" i="13"/>
  <c r="W24" i="13"/>
  <c r="T9" i="13"/>
  <c r="T13" i="13"/>
  <c r="U13" i="13" s="1"/>
  <c r="U23" i="13"/>
  <c r="U17" i="13"/>
  <c r="W17" i="13"/>
  <c r="T8" i="13"/>
  <c r="W8" i="13" s="1"/>
  <c r="T10" i="13"/>
  <c r="T21" i="13"/>
  <c r="T11" i="13"/>
  <c r="T20" i="13"/>
  <c r="W14" i="13"/>
  <c r="T22" i="13"/>
  <c r="T19" i="13"/>
  <c r="T12" i="13"/>
  <c r="W13" i="13" s="1"/>
  <c r="T18" i="13"/>
  <c r="T16" i="13"/>
  <c r="T15" i="13"/>
  <c r="B2" i="13"/>
  <c r="U9" i="13" l="1"/>
  <c r="W9" i="13"/>
  <c r="U19" i="13"/>
  <c r="W19" i="13"/>
  <c r="U11" i="13"/>
  <c r="W11" i="13"/>
  <c r="U20" i="13"/>
  <c r="W20" i="13"/>
  <c r="U8" i="13"/>
  <c r="U22" i="13"/>
  <c r="W22" i="13"/>
  <c r="U10" i="13"/>
  <c r="W10" i="13"/>
  <c r="U21" i="13"/>
  <c r="W21" i="13"/>
  <c r="W23" i="13"/>
  <c r="U16" i="13"/>
  <c r="W16" i="13"/>
  <c r="U18" i="13"/>
  <c r="W18" i="13"/>
  <c r="U15" i="13"/>
  <c r="W15" i="13"/>
  <c r="U12" i="13"/>
  <c r="W12" i="13"/>
  <c r="W1" i="13" l="1"/>
  <c r="X8" i="13"/>
  <c r="X9" i="13"/>
  <c r="X24" i="13"/>
  <c r="X14" i="13"/>
  <c r="X12" i="13"/>
  <c r="X23" i="13"/>
  <c r="X22" i="13"/>
  <c r="X16" i="13"/>
  <c r="X10" i="13"/>
  <c r="X21" i="13"/>
  <c r="X17" i="13"/>
  <c r="X20" i="13"/>
  <c r="X15" i="13"/>
  <c r="X19" i="13"/>
  <c r="X18" i="13"/>
  <c r="X11" i="13"/>
  <c r="X13" i="13"/>
  <c r="V9" i="13"/>
  <c r="V8" i="13"/>
  <c r="V12" i="13"/>
  <c r="V11" i="13"/>
  <c r="V21" i="13"/>
  <c r="V14" i="13"/>
  <c r="V20" i="13"/>
  <c r="V10" i="13"/>
  <c r="V22" i="13"/>
  <c r="V18" i="13"/>
  <c r="V13" i="13"/>
  <c r="V23" i="13"/>
  <c r="V15" i="13"/>
  <c r="V19" i="13"/>
  <c r="V17" i="13"/>
  <c r="V16" i="13"/>
  <c r="F6" i="11"/>
  <c r="D6" i="11"/>
  <c r="E6" i="11"/>
  <c r="G6" i="11" l="1"/>
  <c r="W2" i="13"/>
  <c r="AA14" i="11" l="1"/>
  <c r="Z10" i="11" a="1"/>
  <c r="AA13" i="11" s="1"/>
  <c r="U11" i="11"/>
  <c r="U12" i="11"/>
  <c r="I6" i="11"/>
  <c r="C855" i="13"/>
  <c r="C839" i="13"/>
  <c r="C823" i="13"/>
  <c r="C807" i="13"/>
  <c r="C791" i="13"/>
  <c r="C775" i="13"/>
  <c r="C759" i="13"/>
  <c r="C743" i="13"/>
  <c r="C727" i="13"/>
  <c r="C711" i="13"/>
  <c r="C695" i="13"/>
  <c r="C679" i="13"/>
  <c r="C663" i="13"/>
  <c r="C647" i="13"/>
  <c r="C631" i="13"/>
  <c r="C615" i="13"/>
  <c r="C599" i="13"/>
  <c r="C583" i="13"/>
  <c r="C567" i="13"/>
  <c r="C551" i="13"/>
  <c r="C535" i="13"/>
  <c r="C519" i="13"/>
  <c r="C503" i="13"/>
  <c r="C487" i="13"/>
  <c r="C471" i="13"/>
  <c r="C455" i="13"/>
  <c r="C439" i="13"/>
  <c r="C423" i="13"/>
  <c r="C407" i="13"/>
  <c r="C391" i="13"/>
  <c r="C375" i="13"/>
  <c r="C359" i="13"/>
  <c r="C343" i="13"/>
  <c r="C327" i="13"/>
  <c r="C311" i="13"/>
  <c r="C403" i="13"/>
  <c r="C323" i="13"/>
  <c r="C854" i="13"/>
  <c r="C838" i="13"/>
  <c r="C822" i="13"/>
  <c r="C806" i="13"/>
  <c r="C790" i="13"/>
  <c r="C774" i="13"/>
  <c r="C758" i="13"/>
  <c r="C742" i="13"/>
  <c r="C726" i="13"/>
  <c r="C710" i="13"/>
  <c r="C694" i="13"/>
  <c r="C678" i="13"/>
  <c r="C662" i="13"/>
  <c r="C646" i="13"/>
  <c r="C630" i="13"/>
  <c r="C614" i="13"/>
  <c r="C598" i="13"/>
  <c r="C582" i="13"/>
  <c r="C566" i="13"/>
  <c r="C550" i="13"/>
  <c r="C534" i="13"/>
  <c r="C518" i="13"/>
  <c r="C502" i="13"/>
  <c r="C486" i="13"/>
  <c r="C470" i="13"/>
  <c r="C454" i="13"/>
  <c r="C438" i="13"/>
  <c r="C422" i="13"/>
  <c r="C406" i="13"/>
  <c r="C390" i="13"/>
  <c r="C374" i="13"/>
  <c r="C358" i="13"/>
  <c r="C342" i="13"/>
  <c r="C326" i="13"/>
  <c r="C310" i="13"/>
  <c r="C419" i="13"/>
  <c r="C339" i="13"/>
  <c r="C853" i="13"/>
  <c r="C837" i="13"/>
  <c r="C821" i="13"/>
  <c r="C805" i="13"/>
  <c r="C789" i="13"/>
  <c r="C773" i="13"/>
  <c r="C757" i="13"/>
  <c r="C741" i="13"/>
  <c r="C725" i="13"/>
  <c r="C709" i="13"/>
  <c r="C693" i="13"/>
  <c r="C677" i="13"/>
  <c r="C661" i="13"/>
  <c r="C645" i="13"/>
  <c r="C629" i="13"/>
  <c r="C613" i="13"/>
  <c r="C597" i="13"/>
  <c r="C581" i="13"/>
  <c r="C565" i="13"/>
  <c r="C549" i="13"/>
  <c r="C533" i="13"/>
  <c r="C517" i="13"/>
  <c r="C501" i="13"/>
  <c r="C485" i="13"/>
  <c r="C469" i="13"/>
  <c r="C453" i="13"/>
  <c r="C437" i="13"/>
  <c r="C421" i="13"/>
  <c r="C405" i="13"/>
  <c r="C389" i="13"/>
  <c r="C373" i="13"/>
  <c r="C357" i="13"/>
  <c r="C341" i="13"/>
  <c r="C325" i="13"/>
  <c r="C309" i="13"/>
  <c r="C387" i="13"/>
  <c r="C344" i="13"/>
  <c r="C852" i="13"/>
  <c r="C836" i="13"/>
  <c r="C820" i="13"/>
  <c r="C804" i="13"/>
  <c r="C788" i="13"/>
  <c r="C772" i="13"/>
  <c r="C756" i="13"/>
  <c r="C740" i="13"/>
  <c r="C724" i="13"/>
  <c r="C708" i="13"/>
  <c r="C692" i="13"/>
  <c r="C676" i="13"/>
  <c r="C660" i="13"/>
  <c r="C644" i="13"/>
  <c r="C628" i="13"/>
  <c r="C612" i="13"/>
  <c r="C596" i="13"/>
  <c r="C580" i="13"/>
  <c r="C564" i="13"/>
  <c r="C548" i="13"/>
  <c r="C532" i="13"/>
  <c r="C516" i="13"/>
  <c r="C500" i="13"/>
  <c r="C484" i="13"/>
  <c r="C468" i="13"/>
  <c r="C452" i="13"/>
  <c r="C436" i="13"/>
  <c r="C420" i="13"/>
  <c r="C404" i="13"/>
  <c r="C388" i="13"/>
  <c r="C372" i="13"/>
  <c r="C356" i="13"/>
  <c r="C340" i="13"/>
  <c r="C324" i="13"/>
  <c r="C308" i="13"/>
  <c r="C371" i="13"/>
  <c r="C360" i="13"/>
  <c r="C851" i="13"/>
  <c r="C835" i="13"/>
  <c r="C819" i="13"/>
  <c r="C803" i="13"/>
  <c r="C787" i="13"/>
  <c r="C771" i="13"/>
  <c r="C755" i="13"/>
  <c r="C739" i="13"/>
  <c r="C723" i="13"/>
  <c r="C707" i="13"/>
  <c r="C691" i="13"/>
  <c r="C675" i="13"/>
  <c r="C659" i="13"/>
  <c r="C643" i="13"/>
  <c r="C627" i="13"/>
  <c r="C611" i="13"/>
  <c r="C595" i="13"/>
  <c r="C579" i="13"/>
  <c r="C563" i="13"/>
  <c r="C547" i="13"/>
  <c r="C531" i="13"/>
  <c r="C515" i="13"/>
  <c r="C499" i="13"/>
  <c r="C483" i="13"/>
  <c r="C467" i="13"/>
  <c r="C451" i="13"/>
  <c r="C435" i="13"/>
  <c r="C355" i="13"/>
  <c r="C376" i="13"/>
  <c r="C850" i="13"/>
  <c r="C834" i="13"/>
  <c r="C818" i="13"/>
  <c r="C802" i="13"/>
  <c r="C786" i="13"/>
  <c r="C770" i="13"/>
  <c r="C754" i="13"/>
  <c r="C738" i="13"/>
  <c r="C722" i="13"/>
  <c r="C706" i="13"/>
  <c r="C690" i="13"/>
  <c r="C674" i="13"/>
  <c r="C658" i="13"/>
  <c r="C642" i="13"/>
  <c r="C626" i="13"/>
  <c r="C610" i="13"/>
  <c r="C594" i="13"/>
  <c r="C578" i="13"/>
  <c r="C562" i="13"/>
  <c r="C546" i="13"/>
  <c r="C530" i="13"/>
  <c r="C514" i="13"/>
  <c r="C498" i="13"/>
  <c r="C482" i="13"/>
  <c r="C466" i="13"/>
  <c r="C450" i="13"/>
  <c r="C434" i="13"/>
  <c r="C418" i="13"/>
  <c r="C402" i="13"/>
  <c r="C386" i="13"/>
  <c r="C370" i="13"/>
  <c r="C354" i="13"/>
  <c r="C338" i="13"/>
  <c r="C322" i="13"/>
  <c r="C696" i="13"/>
  <c r="C600" i="13"/>
  <c r="C472" i="13"/>
  <c r="C849" i="13"/>
  <c r="C833" i="13"/>
  <c r="C817" i="13"/>
  <c r="C801" i="13"/>
  <c r="C785" i="13"/>
  <c r="C769" i="13"/>
  <c r="C753" i="13"/>
  <c r="C737" i="13"/>
  <c r="C721" i="13"/>
  <c r="C705" i="13"/>
  <c r="C689" i="13"/>
  <c r="C673" i="13"/>
  <c r="C657" i="13"/>
  <c r="C641" i="13"/>
  <c r="C625" i="13"/>
  <c r="C609" i="13"/>
  <c r="C593" i="13"/>
  <c r="C577" i="13"/>
  <c r="C561" i="13"/>
  <c r="C545" i="13"/>
  <c r="C529" i="13"/>
  <c r="C513" i="13"/>
  <c r="C497" i="13"/>
  <c r="C481" i="13"/>
  <c r="C465" i="13"/>
  <c r="C449" i="13"/>
  <c r="C433" i="13"/>
  <c r="C417" i="13"/>
  <c r="C401" i="13"/>
  <c r="C385" i="13"/>
  <c r="C369" i="13"/>
  <c r="C353" i="13"/>
  <c r="C337" i="13"/>
  <c r="C321" i="13"/>
  <c r="C808" i="13"/>
  <c r="C648" i="13"/>
  <c r="C504" i="13"/>
  <c r="C312" i="13"/>
  <c r="C848" i="13"/>
  <c r="C832" i="13"/>
  <c r="C816" i="13"/>
  <c r="C800" i="13"/>
  <c r="C784" i="13"/>
  <c r="C768" i="13"/>
  <c r="C752" i="13"/>
  <c r="C736" i="13"/>
  <c r="C720" i="13"/>
  <c r="C704" i="13"/>
  <c r="C688" i="13"/>
  <c r="C672" i="13"/>
  <c r="C656" i="13"/>
  <c r="C640" i="13"/>
  <c r="C624" i="13"/>
  <c r="C608" i="13"/>
  <c r="C592" i="13"/>
  <c r="C576" i="13"/>
  <c r="C560" i="13"/>
  <c r="C544" i="13"/>
  <c r="C528" i="13"/>
  <c r="C512" i="13"/>
  <c r="C496" i="13"/>
  <c r="C480" i="13"/>
  <c r="C464" i="13"/>
  <c r="C448" i="13"/>
  <c r="C432" i="13"/>
  <c r="C416" i="13"/>
  <c r="C400" i="13"/>
  <c r="C384" i="13"/>
  <c r="C368" i="13"/>
  <c r="C352" i="13"/>
  <c r="C336" i="13"/>
  <c r="C320" i="13"/>
  <c r="C744" i="13"/>
  <c r="C680" i="13"/>
  <c r="C488" i="13"/>
  <c r="C847" i="13"/>
  <c r="C831" i="13"/>
  <c r="C815" i="13"/>
  <c r="C799" i="13"/>
  <c r="C783" i="13"/>
  <c r="C767" i="13"/>
  <c r="C751" i="13"/>
  <c r="C735" i="13"/>
  <c r="C719" i="13"/>
  <c r="C703" i="13"/>
  <c r="C687" i="13"/>
  <c r="C671" i="13"/>
  <c r="C655" i="13"/>
  <c r="C639" i="13"/>
  <c r="C623" i="13"/>
  <c r="C607" i="13"/>
  <c r="C591" i="13"/>
  <c r="C575" i="13"/>
  <c r="C559" i="13"/>
  <c r="C543" i="13"/>
  <c r="C527" i="13"/>
  <c r="C511" i="13"/>
  <c r="C495" i="13"/>
  <c r="C479" i="13"/>
  <c r="C463" i="13"/>
  <c r="C447" i="13"/>
  <c r="C431" i="13"/>
  <c r="C415" i="13"/>
  <c r="C399" i="13"/>
  <c r="C383" i="13"/>
  <c r="C367" i="13"/>
  <c r="C351" i="13"/>
  <c r="C335" i="13"/>
  <c r="C319" i="13"/>
  <c r="C792" i="13"/>
  <c r="C664" i="13"/>
  <c r="C520" i="13"/>
  <c r="C328" i="13"/>
  <c r="C846" i="13"/>
  <c r="C830" i="13"/>
  <c r="C814" i="13"/>
  <c r="C798" i="13"/>
  <c r="C782" i="13"/>
  <c r="C766" i="13"/>
  <c r="C750" i="13"/>
  <c r="C734" i="13"/>
  <c r="C718" i="13"/>
  <c r="C702" i="13"/>
  <c r="C686" i="13"/>
  <c r="C670" i="13"/>
  <c r="C654" i="13"/>
  <c r="C638" i="13"/>
  <c r="C622" i="13"/>
  <c r="C606" i="13"/>
  <c r="C590" i="13"/>
  <c r="C574" i="13"/>
  <c r="C558" i="13"/>
  <c r="C542" i="13"/>
  <c r="C526" i="13"/>
  <c r="C510" i="13"/>
  <c r="C494" i="13"/>
  <c r="C478" i="13"/>
  <c r="C462" i="13"/>
  <c r="C446" i="13"/>
  <c r="C430" i="13"/>
  <c r="C414" i="13"/>
  <c r="C398" i="13"/>
  <c r="C382" i="13"/>
  <c r="C366" i="13"/>
  <c r="C350" i="13"/>
  <c r="C334" i="13"/>
  <c r="C318" i="13"/>
  <c r="C824" i="13"/>
  <c r="C632" i="13"/>
  <c r="C424" i="13"/>
  <c r="C845" i="13"/>
  <c r="C829" i="13"/>
  <c r="C813" i="13"/>
  <c r="C797" i="13"/>
  <c r="C781" i="13"/>
  <c r="C765" i="13"/>
  <c r="C749" i="13"/>
  <c r="C733" i="13"/>
  <c r="C717" i="13"/>
  <c r="C701" i="13"/>
  <c r="C685" i="13"/>
  <c r="C669" i="13"/>
  <c r="C653" i="13"/>
  <c r="C637" i="13"/>
  <c r="C621" i="13"/>
  <c r="C605" i="13"/>
  <c r="C589" i="13"/>
  <c r="C573" i="13"/>
  <c r="C557" i="13"/>
  <c r="C541" i="13"/>
  <c r="C525" i="13"/>
  <c r="C509" i="13"/>
  <c r="C493" i="13"/>
  <c r="C477" i="13"/>
  <c r="C461" i="13"/>
  <c r="C445" i="13"/>
  <c r="C429" i="13"/>
  <c r="C413" i="13"/>
  <c r="C397" i="13"/>
  <c r="C381" i="13"/>
  <c r="C365" i="13"/>
  <c r="C349" i="13"/>
  <c r="C333" i="13"/>
  <c r="C317" i="13"/>
  <c r="C776" i="13"/>
  <c r="C616" i="13"/>
  <c r="C456" i="13"/>
  <c r="C844" i="13"/>
  <c r="C828" i="13"/>
  <c r="C812" i="13"/>
  <c r="C796" i="13"/>
  <c r="C780" i="13"/>
  <c r="C764" i="13"/>
  <c r="C748" i="13"/>
  <c r="C732" i="13"/>
  <c r="C716" i="13"/>
  <c r="C700" i="13"/>
  <c r="C684" i="13"/>
  <c r="C668" i="13"/>
  <c r="C652" i="13"/>
  <c r="C636" i="13"/>
  <c r="C620" i="13"/>
  <c r="C604" i="13"/>
  <c r="C588" i="13"/>
  <c r="C572" i="13"/>
  <c r="C556" i="13"/>
  <c r="C540" i="13"/>
  <c r="C524" i="13"/>
  <c r="C508" i="13"/>
  <c r="C492" i="13"/>
  <c r="C476" i="13"/>
  <c r="C460" i="13"/>
  <c r="C444" i="13"/>
  <c r="C428" i="13"/>
  <c r="C412" i="13"/>
  <c r="C396" i="13"/>
  <c r="C380" i="13"/>
  <c r="C364" i="13"/>
  <c r="C348" i="13"/>
  <c r="C332" i="13"/>
  <c r="C316" i="13"/>
  <c r="C760" i="13"/>
  <c r="C536" i="13"/>
  <c r="C843" i="13"/>
  <c r="C827" i="13"/>
  <c r="C811" i="13"/>
  <c r="C795" i="13"/>
  <c r="C779" i="13"/>
  <c r="C763" i="13"/>
  <c r="C747" i="13"/>
  <c r="C731" i="13"/>
  <c r="C715" i="13"/>
  <c r="C699" i="13"/>
  <c r="C683" i="13"/>
  <c r="C667" i="13"/>
  <c r="C651" i="13"/>
  <c r="C635" i="13"/>
  <c r="C619" i="13"/>
  <c r="C603" i="13"/>
  <c r="C587" i="13"/>
  <c r="C571" i="13"/>
  <c r="C555" i="13"/>
  <c r="C539" i="13"/>
  <c r="C523" i="13"/>
  <c r="C507" i="13"/>
  <c r="C491" i="13"/>
  <c r="C475" i="13"/>
  <c r="C459" i="13"/>
  <c r="C443" i="13"/>
  <c r="C427" i="13"/>
  <c r="C411" i="13"/>
  <c r="C395" i="13"/>
  <c r="C379" i="13"/>
  <c r="C363" i="13"/>
  <c r="C347" i="13"/>
  <c r="C331" i="13"/>
  <c r="C315" i="13"/>
  <c r="C728" i="13"/>
  <c r="C552" i="13"/>
  <c r="C408" i="13"/>
  <c r="C842" i="13"/>
  <c r="C826" i="13"/>
  <c r="C810" i="13"/>
  <c r="C794" i="13"/>
  <c r="C778" i="13"/>
  <c r="C762" i="13"/>
  <c r="C746" i="13"/>
  <c r="C730" i="13"/>
  <c r="C714" i="13"/>
  <c r="C698" i="13"/>
  <c r="C682" i="13"/>
  <c r="C666" i="13"/>
  <c r="C650" i="13"/>
  <c r="C634" i="13"/>
  <c r="C618" i="13"/>
  <c r="C602" i="13"/>
  <c r="C586" i="13"/>
  <c r="C570" i="13"/>
  <c r="C554" i="13"/>
  <c r="C538" i="13"/>
  <c r="C522" i="13"/>
  <c r="C506" i="13"/>
  <c r="C490" i="13"/>
  <c r="C474" i="13"/>
  <c r="C458" i="13"/>
  <c r="C442" i="13"/>
  <c r="C426" i="13"/>
  <c r="C410" i="13"/>
  <c r="C394" i="13"/>
  <c r="C378" i="13"/>
  <c r="C362" i="13"/>
  <c r="C346" i="13"/>
  <c r="C330" i="13"/>
  <c r="C314" i="13"/>
  <c r="C712" i="13"/>
  <c r="C584" i="13"/>
  <c r="C440" i="13"/>
  <c r="C841" i="13"/>
  <c r="C825" i="13"/>
  <c r="C809" i="13"/>
  <c r="C793" i="13"/>
  <c r="C777" i="13"/>
  <c r="C761" i="13"/>
  <c r="C745" i="13"/>
  <c r="C729" i="13"/>
  <c r="C713" i="13"/>
  <c r="C697" i="13"/>
  <c r="C681" i="13"/>
  <c r="C665" i="13"/>
  <c r="C649" i="13"/>
  <c r="C633" i="13"/>
  <c r="C617" i="13"/>
  <c r="C601" i="13"/>
  <c r="C585" i="13"/>
  <c r="C569" i="13"/>
  <c r="C553" i="13"/>
  <c r="C537" i="13"/>
  <c r="C521" i="13"/>
  <c r="C505" i="13"/>
  <c r="C489" i="13"/>
  <c r="C473" i="13"/>
  <c r="C457" i="13"/>
  <c r="C441" i="13"/>
  <c r="C425" i="13"/>
  <c r="C409" i="13"/>
  <c r="C393" i="13"/>
  <c r="C377" i="13"/>
  <c r="C361" i="13"/>
  <c r="C345" i="13"/>
  <c r="C329" i="13"/>
  <c r="C313" i="13"/>
  <c r="C840" i="13"/>
  <c r="C568" i="13"/>
  <c r="C392" i="13"/>
  <c r="AJ854" i="5"/>
  <c r="L854" i="5"/>
  <c r="AJ853" i="5"/>
  <c r="L853" i="5"/>
  <c r="AJ851" i="5"/>
  <c r="L851" i="5"/>
  <c r="AJ850" i="5"/>
  <c r="L850" i="5"/>
  <c r="L849" i="5"/>
  <c r="BH842" i="5"/>
  <c r="BH841" i="5"/>
  <c r="BH839" i="5"/>
  <c r="BB842" i="5"/>
  <c r="BB840" i="5"/>
  <c r="AY839" i="5"/>
  <c r="AY840" i="5"/>
  <c r="AY842" i="5"/>
  <c r="AV842" i="5"/>
  <c r="AV841" i="5"/>
  <c r="AV840" i="5"/>
  <c r="AV839" i="5"/>
  <c r="AS842" i="5"/>
  <c r="AS841" i="5"/>
  <c r="AS840" i="5"/>
  <c r="AS839" i="5"/>
  <c r="AM842" i="5"/>
  <c r="AM841" i="5"/>
  <c r="AM840" i="5"/>
  <c r="AM839" i="5"/>
  <c r="AA842" i="5"/>
  <c r="AA841" i="5"/>
  <c r="AA840" i="5"/>
  <c r="AA839" i="5"/>
  <c r="L842" i="5"/>
  <c r="L841" i="5"/>
  <c r="L839" i="5"/>
  <c r="AM823" i="5"/>
  <c r="AJ823" i="5"/>
  <c r="I823" i="5"/>
  <c r="BE808" i="5"/>
  <c r="AJ808" i="5"/>
  <c r="AD808" i="5"/>
  <c r="O808" i="5"/>
  <c r="L808" i="5"/>
  <c r="Z10" i="11" l="1"/>
  <c r="AA10" i="11" s="1"/>
  <c r="AA11" i="11"/>
  <c r="AA12" i="11"/>
  <c r="D2" i="15" a="1"/>
  <c r="D2" i="15" s="1"/>
  <c r="C3" i="15" a="1"/>
  <c r="C3" i="15" s="1"/>
  <c r="G4" i="15"/>
  <c r="H242" i="11" s="1"/>
  <c r="R12" i="11"/>
  <c r="R10" i="11"/>
  <c r="R11" i="11"/>
  <c r="U16" i="11"/>
  <c r="U19" i="11"/>
  <c r="U18" i="11"/>
  <c r="U17" i="11"/>
  <c r="AG232" i="5"/>
  <c r="AG231" i="5"/>
  <c r="AG230" i="5"/>
  <c r="O232" i="5"/>
  <c r="O231" i="5"/>
  <c r="O230" i="5"/>
  <c r="L231" i="5"/>
  <c r="L230" i="5"/>
  <c r="I232" i="5"/>
  <c r="I231" i="5"/>
  <c r="I230" i="5"/>
  <c r="AP227" i="5"/>
  <c r="AY225" i="5"/>
  <c r="AM225" i="5"/>
  <c r="AJ225" i="5"/>
  <c r="L225" i="5"/>
  <c r="AJ215" i="5"/>
  <c r="AJ214" i="5"/>
  <c r="AJ213" i="5"/>
  <c r="AJ212" i="5"/>
  <c r="AJ211" i="5"/>
  <c r="AJ210" i="5"/>
  <c r="AJ209" i="5"/>
  <c r="AJ208" i="5"/>
  <c r="BE203" i="5"/>
  <c r="BE202" i="5"/>
  <c r="BB203" i="5"/>
  <c r="BB202" i="5"/>
  <c r="AP203" i="5"/>
  <c r="AP202" i="5"/>
  <c r="AD203" i="5"/>
  <c r="AD202" i="5"/>
  <c r="X203" i="5"/>
  <c r="X202" i="5"/>
  <c r="AP200" i="5"/>
  <c r="AJ200" i="5"/>
  <c r="L199" i="5"/>
  <c r="AG198" i="5"/>
  <c r="AG197" i="5"/>
  <c r="U198" i="5"/>
  <c r="U197" i="5"/>
  <c r="I198" i="5"/>
  <c r="I197" i="5"/>
  <c r="BE188" i="5"/>
  <c r="BE189" i="5"/>
  <c r="BE190" i="5"/>
  <c r="I190" i="5"/>
  <c r="I189" i="5"/>
  <c r="I188" i="5"/>
  <c r="L186" i="5"/>
  <c r="L185" i="5"/>
  <c r="H823" i="11" l="1"/>
  <c r="H822" i="11"/>
  <c r="H817" i="11"/>
  <c r="H18" i="11"/>
  <c r="H821" i="11"/>
  <c r="H824" i="11"/>
  <c r="H370" i="11"/>
  <c r="H742" i="11"/>
  <c r="H745" i="11"/>
  <c r="H750" i="11"/>
  <c r="H746" i="11"/>
  <c r="H744" i="11"/>
  <c r="H740" i="11"/>
  <c r="H576" i="11"/>
  <c r="H574" i="11"/>
  <c r="H170" i="11"/>
  <c r="H171" i="11"/>
  <c r="H485" i="11"/>
  <c r="H484" i="11"/>
  <c r="H483" i="11"/>
  <c r="H490" i="11"/>
  <c r="H172" i="11"/>
  <c r="H208" i="11"/>
  <c r="H159" i="11"/>
  <c r="H169" i="11"/>
  <c r="H375" i="11"/>
  <c r="H379" i="11"/>
  <c r="H378" i="11"/>
  <c r="H826" i="11"/>
  <c r="H376" i="11"/>
  <c r="H377" i="11"/>
  <c r="H251" i="11"/>
  <c r="H642" i="11"/>
  <c r="H829" i="11"/>
  <c r="H374" i="11"/>
  <c r="H827" i="11"/>
  <c r="H365" i="11"/>
  <c r="H639" i="11"/>
  <c r="H811" i="11"/>
  <c r="H641" i="11"/>
  <c r="H640" i="11"/>
  <c r="H807" i="11"/>
  <c r="H630" i="11"/>
  <c r="H628" i="11"/>
  <c r="H58" i="11"/>
  <c r="H626" i="11"/>
  <c r="H629" i="11"/>
  <c r="H420" i="11"/>
  <c r="H200" i="11"/>
  <c r="H624" i="11"/>
  <c r="H621" i="11"/>
  <c r="H623" i="11"/>
  <c r="H627" i="11"/>
  <c r="H620" i="11"/>
  <c r="H622" i="11"/>
  <c r="H625" i="11"/>
  <c r="H205" i="11"/>
  <c r="H210" i="11"/>
  <c r="H239" i="11"/>
  <c r="H349" i="11"/>
  <c r="H728" i="11"/>
  <c r="H421" i="11"/>
  <c r="H109" i="11"/>
  <c r="H820" i="11"/>
  <c r="H103" i="11"/>
  <c r="H439" i="11"/>
  <c r="H347" i="11"/>
  <c r="H486" i="11"/>
  <c r="H422" i="11"/>
  <c r="H348" i="11"/>
  <c r="H806" i="11"/>
  <c r="H157" i="11"/>
  <c r="H209" i="11"/>
  <c r="H146" i="11"/>
  <c r="H523" i="11"/>
  <c r="H731" i="11"/>
  <c r="H512" i="11"/>
  <c r="H679" i="11"/>
  <c r="H635" i="11"/>
  <c r="H277" i="11"/>
  <c r="H527" i="11"/>
  <c r="H529" i="11"/>
  <c r="H561" i="11"/>
  <c r="H562" i="11"/>
  <c r="H770" i="11"/>
  <c r="H11" i="11"/>
  <c r="H227" i="11"/>
  <c r="H504" i="11"/>
  <c r="H536" i="11"/>
  <c r="H582" i="11"/>
  <c r="H710" i="11"/>
  <c r="H231" i="11"/>
  <c r="H772" i="11"/>
  <c r="H156" i="11"/>
  <c r="H344" i="11"/>
  <c r="H691" i="11"/>
  <c r="H560" i="11"/>
  <c r="H526" i="11"/>
  <c r="H643" i="11"/>
  <c r="H408" i="11"/>
  <c r="H678" i="11"/>
  <c r="H596" i="11"/>
  <c r="H711" i="11"/>
  <c r="H771" i="11"/>
  <c r="H712" i="11"/>
  <c r="H773" i="11"/>
  <c r="H715" i="11"/>
  <c r="H416" i="11"/>
  <c r="H448" i="11"/>
  <c r="H380" i="11"/>
  <c r="H597" i="11"/>
  <c r="H723" i="11"/>
  <c r="H56" i="11"/>
  <c r="H122" i="11"/>
  <c r="H147" i="11"/>
  <c r="H583" i="11"/>
  <c r="H585" i="11"/>
  <c r="H522" i="11"/>
  <c r="H637" i="11"/>
  <c r="H537" i="11"/>
  <c r="H463" i="11"/>
  <c r="H57" i="11"/>
  <c r="H312" i="11"/>
  <c r="H528" i="11"/>
  <c r="H825" i="11"/>
  <c r="H705" i="11"/>
  <c r="H774" i="11"/>
  <c r="H303" i="11"/>
  <c r="H709" i="11"/>
  <c r="H580" i="11"/>
  <c r="H684" i="11"/>
  <c r="H818" i="11"/>
  <c r="H313" i="11"/>
  <c r="H810" i="11"/>
  <c r="H581" i="11"/>
  <c r="H566" i="11"/>
  <c r="H598" i="11"/>
  <c r="H636" i="11"/>
  <c r="H690" i="11"/>
  <c r="H634" i="11"/>
  <c r="H692" i="11"/>
  <c r="H524" i="11"/>
  <c r="H819" i="11"/>
  <c r="H124" i="11"/>
  <c r="H123" i="11"/>
  <c r="H525" i="11"/>
  <c r="H647" i="11"/>
  <c r="H713" i="11"/>
  <c r="H252" i="11"/>
  <c r="H646" i="11"/>
  <c r="H769" i="11"/>
  <c r="H680" i="11"/>
  <c r="H682" i="11"/>
  <c r="H530" i="11"/>
  <c r="H681" i="11"/>
  <c r="H230" i="11"/>
  <c r="H278" i="11"/>
  <c r="H676" i="11"/>
  <c r="H595" i="11"/>
  <c r="H685" i="11"/>
  <c r="H584" i="11"/>
  <c r="H677" i="11"/>
  <c r="H846" i="11"/>
  <c r="H148" i="11"/>
  <c r="H343" i="11"/>
  <c r="H683" i="11"/>
  <c r="H586" i="11"/>
  <c r="H407" i="11"/>
  <c r="H714" i="11"/>
  <c r="H521" i="11"/>
  <c r="H14" i="11"/>
  <c r="H126" i="11"/>
  <c r="H78" i="11"/>
  <c r="H110" i="11"/>
  <c r="H134" i="11"/>
  <c r="H249" i="11"/>
  <c r="H265" i="11"/>
  <c r="H281" i="11"/>
  <c r="H297" i="11"/>
  <c r="H316" i="11"/>
  <c r="H221" i="11"/>
  <c r="H250" i="11"/>
  <c r="H282" i="11"/>
  <c r="H298" i="11"/>
  <c r="H164" i="11"/>
  <c r="H196" i="11"/>
  <c r="H492" i="11"/>
  <c r="H274" i="11"/>
  <c r="H451" i="11"/>
  <c r="H557" i="11"/>
  <c r="H573" i="11"/>
  <c r="H589" i="11"/>
  <c r="H605" i="11"/>
  <c r="H669" i="11"/>
  <c r="H290" i="11"/>
  <c r="H415" i="11"/>
  <c r="H465" i="11"/>
  <c r="H493" i="11"/>
  <c r="H501" i="11"/>
  <c r="H517" i="11"/>
  <c r="H533" i="11"/>
  <c r="H541" i="11"/>
  <c r="H549" i="11"/>
  <c r="H556" i="11"/>
  <c r="H572" i="11"/>
  <c r="H604" i="11"/>
  <c r="H652" i="11"/>
  <c r="H258" i="11"/>
  <c r="H645" i="11"/>
  <c r="H588" i="11"/>
  <c r="H668" i="11"/>
  <c r="H673" i="11"/>
  <c r="H687" i="11"/>
  <c r="H850" i="11"/>
  <c r="H730" i="11"/>
  <c r="H787" i="11"/>
  <c r="H854" i="11"/>
  <c r="H587" i="11"/>
  <c r="H547" i="11"/>
  <c r="H531" i="11"/>
  <c r="H518" i="11"/>
  <c r="H453" i="11"/>
  <c r="H607" i="11"/>
  <c r="H591" i="11"/>
  <c r="H552" i="11"/>
  <c r="H469" i="11"/>
  <c r="H262" i="11"/>
  <c r="H813" i="11"/>
  <c r="H725" i="11"/>
  <c r="H437" i="11"/>
  <c r="H314" i="11"/>
  <c r="H726" i="11"/>
  <c r="H667" i="11"/>
  <c r="H473" i="11"/>
  <c r="H342" i="11"/>
  <c r="H847" i="11"/>
  <c r="H831" i="11"/>
  <c r="H815" i="11"/>
  <c r="H799" i="11"/>
  <c r="H783" i="11"/>
  <c r="H719" i="11"/>
  <c r="H648" i="11"/>
  <c r="H616" i="11"/>
  <c r="H795" i="11"/>
  <c r="H779" i="11"/>
  <c r="H763" i="11"/>
  <c r="H851" i="11"/>
  <c r="H695" i="11"/>
  <c r="H644" i="11"/>
  <c r="H778" i="11"/>
  <c r="H765" i="11"/>
  <c r="H717" i="11"/>
  <c r="H663" i="11"/>
  <c r="H599" i="11"/>
  <c r="H567" i="11"/>
  <c r="H830" i="11"/>
  <c r="H571" i="11"/>
  <c r="H694" i="11"/>
  <c r="H559" i="11"/>
  <c r="H425" i="11"/>
  <c r="H837" i="11"/>
  <c r="H670" i="11"/>
  <c r="H606" i="11"/>
  <c r="H476" i="11"/>
  <c r="H406" i="11"/>
  <c r="H798" i="11"/>
  <c r="H758" i="11"/>
  <c r="H651" i="11"/>
  <c r="H550" i="11"/>
  <c r="H534" i="11"/>
  <c r="H515" i="11"/>
  <c r="H494" i="11"/>
  <c r="H390" i="11"/>
  <c r="H294" i="11"/>
  <c r="H802" i="11"/>
  <c r="H786" i="11"/>
  <c r="H722" i="11"/>
  <c r="H834" i="11"/>
  <c r="H794" i="11"/>
  <c r="H762" i="11"/>
  <c r="H698" i="11"/>
  <c r="H835" i="11"/>
  <c r="H803" i="11"/>
  <c r="H781" i="11"/>
  <c r="H757" i="11"/>
  <c r="H838" i="11"/>
  <c r="H814" i="11"/>
  <c r="H608" i="11"/>
  <c r="H555" i="11"/>
  <c r="H542" i="11"/>
  <c r="H544" i="11"/>
  <c r="H496" i="11"/>
  <c r="H478" i="11"/>
  <c r="H805" i="11"/>
  <c r="H446" i="11"/>
  <c r="H397" i="11"/>
  <c r="H672" i="11"/>
  <c r="H426" i="11"/>
  <c r="H855" i="11"/>
  <c r="H839" i="11"/>
  <c r="H791" i="11"/>
  <c r="H775" i="11"/>
  <c r="H759" i="11"/>
  <c r="H727" i="11"/>
  <c r="H664" i="11"/>
  <c r="H600" i="11"/>
  <c r="H568" i="11"/>
  <c r="H418" i="11"/>
  <c r="H414" i="11"/>
  <c r="H341" i="11"/>
  <c r="H315" i="11"/>
  <c r="H285" i="11"/>
  <c r="H177" i="11"/>
  <c r="H399" i="11"/>
  <c r="H383" i="11"/>
  <c r="H351" i="11"/>
  <c r="H335" i="11"/>
  <c r="H853" i="11"/>
  <c r="H603" i="11"/>
  <c r="H204" i="11"/>
  <c r="H718" i="11"/>
  <c r="H438" i="11"/>
  <c r="H500" i="11"/>
  <c r="H470" i="11"/>
  <c r="H495" i="11"/>
  <c r="H308" i="11"/>
  <c r="H111" i="11"/>
  <c r="H472" i="11"/>
  <c r="H431" i="11"/>
  <c r="H394" i="11"/>
  <c r="H354" i="11"/>
  <c r="H331" i="11"/>
  <c r="H405" i="11"/>
  <c r="H389" i="11"/>
  <c r="H477" i="11"/>
  <c r="H447" i="11"/>
  <c r="H398" i="11"/>
  <c r="H289" i="11"/>
  <c r="H269" i="11"/>
  <c r="H184" i="11"/>
  <c r="H219" i="11"/>
  <c r="H145" i="11"/>
  <c r="H132" i="11"/>
  <c r="H44" i="11"/>
  <c r="H272" i="11"/>
  <c r="H232" i="11"/>
  <c r="H195" i="11"/>
  <c r="H175" i="11"/>
  <c r="H168" i="11"/>
  <c r="H144" i="11"/>
  <c r="H49" i="11"/>
  <c r="H404" i="11"/>
  <c r="H388" i="11"/>
  <c r="H356" i="11"/>
  <c r="H340" i="11"/>
  <c r="H321" i="11"/>
  <c r="H220" i="11"/>
  <c r="H86" i="11"/>
  <c r="H16" i="11"/>
  <c r="H197" i="11"/>
  <c r="H155" i="11"/>
  <c r="H139" i="11"/>
  <c r="H19" i="11"/>
  <c r="H385" i="11"/>
  <c r="H337" i="11"/>
  <c r="H248" i="11"/>
  <c r="H300" i="11"/>
  <c r="H120" i="11"/>
  <c r="H12" i="11"/>
  <c r="H307" i="11"/>
  <c r="H267" i="11"/>
  <c r="H125" i="11"/>
  <c r="H185" i="11"/>
  <c r="H89" i="11"/>
  <c r="H15" i="11"/>
  <c r="H40" i="11"/>
  <c r="H675" i="11"/>
  <c r="H674" i="11"/>
  <c r="H444" i="11"/>
  <c r="H590" i="11"/>
  <c r="H423" i="11"/>
  <c r="H516" i="11"/>
  <c r="H410" i="11"/>
  <c r="H551" i="11"/>
  <c r="H296" i="11"/>
  <c r="H273" i="11"/>
  <c r="H409" i="11"/>
  <c r="H391" i="11"/>
  <c r="H346" i="11"/>
  <c r="H179" i="11"/>
  <c r="H135" i="11"/>
  <c r="H519" i="11"/>
  <c r="H466" i="11"/>
  <c r="H393" i="11"/>
  <c r="H345" i="11"/>
  <c r="H301" i="11"/>
  <c r="H291" i="11"/>
  <c r="H275" i="11"/>
  <c r="H259" i="11"/>
  <c r="H243" i="11"/>
  <c r="H92" i="11"/>
  <c r="H261" i="11"/>
  <c r="H166" i="11"/>
  <c r="H276" i="11"/>
  <c r="H260" i="11"/>
  <c r="H244" i="11"/>
  <c r="H181" i="11"/>
  <c r="H143" i="11"/>
  <c r="H128" i="11"/>
  <c r="H108" i="11"/>
  <c r="H176" i="11"/>
  <c r="H127" i="11"/>
  <c r="H54" i="11"/>
  <c r="H28" i="11"/>
  <c r="H117" i="11"/>
  <c r="H53" i="11"/>
  <c r="H133" i="11"/>
  <c r="H454" i="11"/>
  <c r="H338" i="11"/>
  <c r="H543" i="11"/>
  <c r="H268" i="11"/>
  <c r="H198" i="11"/>
  <c r="H283" i="11"/>
  <c r="H119" i="11"/>
  <c r="H178" i="11"/>
  <c r="H136" i="11"/>
  <c r="H88" i="11"/>
  <c r="H686" i="11"/>
  <c r="H689" i="11"/>
  <c r="H558" i="11"/>
  <c r="H358" i="11"/>
  <c r="H532" i="11"/>
  <c r="H480" i="11"/>
  <c r="H511" i="11"/>
  <c r="H464" i="11"/>
  <c r="H264" i="11"/>
  <c r="H17" i="11"/>
  <c r="H386" i="11"/>
  <c r="H329" i="11"/>
  <c r="H304" i="11"/>
  <c r="H535" i="11"/>
  <c r="H401" i="11"/>
  <c r="H479" i="11"/>
  <c r="H445" i="11"/>
  <c r="H430" i="11"/>
  <c r="H257" i="11"/>
  <c r="H84" i="11"/>
  <c r="H305" i="11"/>
  <c r="H152" i="11"/>
  <c r="H9" i="11"/>
  <c r="H328" i="11"/>
  <c r="H288" i="11"/>
  <c r="H256" i="11"/>
  <c r="H207" i="11"/>
  <c r="H52" i="11"/>
  <c r="H41" i="11"/>
  <c r="H428" i="11"/>
  <c r="H412" i="11"/>
  <c r="H396" i="11"/>
  <c r="H327" i="11"/>
  <c r="H225" i="11"/>
  <c r="H223" i="11"/>
  <c r="H229" i="11"/>
  <c r="H165" i="11"/>
  <c r="H76" i="11"/>
  <c r="H39" i="11"/>
  <c r="H45" i="11"/>
  <c r="H13" i="11"/>
  <c r="H8" i="11"/>
  <c r="H107" i="11"/>
  <c r="H91" i="11"/>
  <c r="H75" i="11"/>
  <c r="H59" i="11"/>
  <c r="H43" i="11"/>
  <c r="H27" i="11"/>
  <c r="H782" i="11"/>
  <c r="H671" i="11"/>
  <c r="H402" i="11"/>
  <c r="H638" i="11"/>
  <c r="H452" i="11"/>
  <c r="H236" i="11"/>
  <c r="H539" i="11"/>
  <c r="H688" i="11"/>
  <c r="H579" i="11"/>
  <c r="H548" i="11"/>
  <c r="H413" i="11"/>
  <c r="H350" i="11"/>
  <c r="H357" i="11"/>
  <c r="H481" i="11"/>
  <c r="H359" i="11"/>
  <c r="H320" i="11"/>
  <c r="H121" i="11"/>
  <c r="H180" i="11"/>
  <c r="H299" i="11"/>
  <c r="H48" i="11"/>
  <c r="H116" i="11"/>
  <c r="H104" i="11"/>
  <c r="H85" i="11"/>
  <c r="H26" i="11"/>
  <c r="H247" i="11"/>
  <c r="H226" i="11"/>
  <c r="H505" i="11"/>
  <c r="H633" i="11"/>
  <c r="H222" i="11"/>
  <c r="H287" i="11"/>
  <c r="H270" i="11"/>
  <c r="H411" i="11"/>
  <c r="H194" i="11"/>
  <c r="H554" i="11"/>
  <c r="H360" i="11"/>
  <c r="H400" i="11"/>
  <c r="H42" i="11"/>
  <c r="H106" i="11"/>
  <c r="H87" i="11"/>
  <c r="H174" i="11"/>
  <c r="H295" i="11"/>
  <c r="H355" i="11"/>
  <c r="H419" i="11"/>
  <c r="H609" i="11"/>
  <c r="H841" i="11"/>
  <c r="H792" i="11"/>
  <c r="H339" i="11"/>
  <c r="H392" i="11"/>
  <c r="H50" i="11"/>
  <c r="H190" i="11"/>
  <c r="H286" i="11"/>
  <c r="H427" i="11"/>
  <c r="H352" i="11"/>
  <c r="H506" i="11"/>
  <c r="H570" i="11"/>
  <c r="H577" i="11"/>
  <c r="H657" i="11"/>
  <c r="H436" i="11"/>
  <c r="H546" i="11"/>
  <c r="H720" i="11"/>
  <c r="H729" i="11"/>
  <c r="H848" i="11"/>
  <c r="H801" i="11"/>
  <c r="H833" i="11"/>
  <c r="H777" i="11"/>
  <c r="H665" i="11"/>
  <c r="H840" i="11"/>
  <c r="H696" i="11"/>
  <c r="H800" i="11"/>
  <c r="H697" i="11"/>
  <c r="H784" i="11"/>
  <c r="H306" i="11"/>
  <c r="H497" i="11"/>
  <c r="H732" i="11"/>
  <c r="H836" i="11"/>
  <c r="H118" i="11"/>
  <c r="H693" i="11"/>
  <c r="H828" i="11"/>
  <c r="H776" i="11"/>
  <c r="H322" i="11"/>
  <c r="H764" i="11"/>
  <c r="H804" i="11"/>
  <c r="H716" i="11"/>
  <c r="H7" i="11"/>
  <c r="H442" i="11"/>
  <c r="H432" i="11"/>
  <c r="H857" i="11"/>
  <c r="H158" i="11"/>
  <c r="H255" i="11"/>
  <c r="H237" i="11"/>
  <c r="H336" i="11"/>
  <c r="H474" i="11"/>
  <c r="H650" i="11"/>
  <c r="H90" i="11"/>
  <c r="H154" i="11"/>
  <c r="H403" i="11"/>
  <c r="H10" i="11"/>
  <c r="H55" i="11"/>
  <c r="H138" i="11"/>
  <c r="H238" i="11"/>
  <c r="H199" i="11"/>
  <c r="H263" i="11"/>
  <c r="H387" i="11"/>
  <c r="H475" i="11"/>
  <c r="H658" i="11"/>
  <c r="H856" i="11"/>
  <c r="H326" i="11"/>
  <c r="H443" i="11"/>
  <c r="H424" i="11"/>
  <c r="H271" i="11"/>
  <c r="H254" i="11"/>
  <c r="H330" i="11"/>
  <c r="H395" i="11"/>
  <c r="H319" i="11"/>
  <c r="H384" i="11"/>
  <c r="H538" i="11"/>
  <c r="H602" i="11"/>
  <c r="H666" i="11"/>
  <c r="H721" i="11"/>
  <c r="H785" i="11"/>
  <c r="H578" i="11"/>
  <c r="H793" i="11"/>
  <c r="H649" i="11"/>
  <c r="H849" i="11"/>
  <c r="H761" i="11"/>
  <c r="H601" i="11"/>
  <c r="H816" i="11"/>
  <c r="H569" i="11"/>
  <c r="H760" i="11"/>
  <c r="H832" i="11"/>
  <c r="H724" i="11"/>
  <c r="H852" i="11"/>
  <c r="H186" i="11"/>
  <c r="H471" i="11"/>
  <c r="H780" i="11"/>
  <c r="H553" i="11"/>
  <c r="H812" i="11"/>
  <c r="C6" i="15" a="1"/>
  <c r="C6" i="15" s="1"/>
  <c r="C8" i="15" a="1"/>
  <c r="C8" i="15" s="1"/>
  <c r="C15" i="15" a="1"/>
  <c r="C15" i="15" s="1"/>
  <c r="R13" i="11" a="1"/>
  <c r="R13" i="11" s="1"/>
  <c r="R14" i="11" a="1"/>
  <c r="R14" i="11" s="1"/>
  <c r="I170" i="5"/>
  <c r="AM169" i="5"/>
  <c r="AM168" i="5"/>
  <c r="AM167" i="5"/>
  <c r="AJ169" i="5"/>
  <c r="AJ168" i="5"/>
  <c r="AJ167" i="5"/>
  <c r="AJ166" i="5"/>
  <c r="X166" i="5"/>
  <c r="BE164" i="5"/>
  <c r="AP164" i="5"/>
  <c r="AM164" i="5"/>
  <c r="U164" i="5"/>
  <c r="O164" i="5"/>
  <c r="X160" i="5"/>
  <c r="AJ160" i="5"/>
  <c r="AG160" i="5"/>
  <c r="AJ159" i="5"/>
  <c r="AG159" i="5"/>
  <c r="X159" i="5"/>
  <c r="I160" i="5"/>
  <c r="I159" i="5"/>
  <c r="BB153" i="5"/>
  <c r="AJ153" i="5"/>
  <c r="AP154" i="5"/>
  <c r="X150" i="5"/>
  <c r="BE148" i="5"/>
  <c r="BE147" i="5"/>
  <c r="BE146" i="5"/>
  <c r="BB148" i="5"/>
  <c r="BB147" i="5"/>
  <c r="BB146" i="5"/>
  <c r="AP148" i="5"/>
  <c r="AP147" i="5"/>
  <c r="AP146" i="5"/>
  <c r="I148" i="5"/>
  <c r="I147" i="5"/>
  <c r="I146" i="5"/>
  <c r="AG143" i="5"/>
  <c r="AG145" i="5"/>
  <c r="AG144" i="5"/>
  <c r="I145" i="5"/>
  <c r="I144" i="5"/>
  <c r="I143" i="5"/>
  <c r="AG139" i="5"/>
  <c r="BB138" i="5"/>
  <c r="AM138" i="5"/>
  <c r="AJ138" i="5"/>
  <c r="X138" i="5"/>
  <c r="BB137" i="5"/>
  <c r="AM137" i="5"/>
  <c r="AJ137" i="5"/>
  <c r="X137" i="5"/>
  <c r="L137" i="5"/>
  <c r="AJ134" i="5"/>
  <c r="AG134" i="5"/>
  <c r="R134" i="5"/>
  <c r="O134" i="5"/>
  <c r="I134" i="5"/>
  <c r="AP126" i="5"/>
  <c r="AV112" i="5"/>
  <c r="AP112" i="5"/>
  <c r="AJ112" i="5"/>
  <c r="AJ102" i="5"/>
  <c r="AG102" i="5"/>
  <c r="AP100" i="5"/>
  <c r="X100" i="5"/>
  <c r="AJ98" i="5"/>
  <c r="AG99" i="5"/>
  <c r="AG98" i="5"/>
  <c r="U98" i="5"/>
  <c r="L99" i="5"/>
  <c r="L98" i="5"/>
  <c r="BE97" i="5"/>
  <c r="AV97" i="5"/>
  <c r="AJ97" i="5"/>
  <c r="AD97" i="5"/>
  <c r="BE96" i="5"/>
  <c r="AV96" i="5"/>
  <c r="AJ96" i="5"/>
  <c r="AD96" i="5"/>
  <c r="BE95" i="5"/>
  <c r="AV95" i="5"/>
  <c r="AJ95" i="5"/>
  <c r="AD95" i="5"/>
  <c r="L95" i="5"/>
  <c r="BE94" i="5"/>
  <c r="AV94" i="5"/>
  <c r="AJ94" i="5"/>
  <c r="AD94" i="5"/>
  <c r="L94" i="5"/>
  <c r="AJ93" i="5"/>
  <c r="AJ92" i="5"/>
  <c r="AJ91" i="5"/>
  <c r="AJ90" i="5"/>
  <c r="AD93" i="5"/>
  <c r="AD92" i="5"/>
  <c r="AD91" i="5"/>
  <c r="AD90" i="5"/>
  <c r="U93" i="5"/>
  <c r="U92" i="5"/>
  <c r="U91" i="5"/>
  <c r="U90" i="5"/>
  <c r="I93" i="5"/>
  <c r="I92" i="5"/>
  <c r="I91" i="5"/>
  <c r="I90" i="5"/>
  <c r="BE76" i="5" l="1"/>
  <c r="BB77" i="5"/>
  <c r="AD77" i="5"/>
  <c r="L77" i="5"/>
  <c r="BB78" i="5"/>
  <c r="AD78" i="5"/>
  <c r="L78" i="5"/>
  <c r="BB79" i="5" l="1"/>
  <c r="AD79" i="5"/>
  <c r="BB74" i="5"/>
  <c r="AG74" i="5"/>
  <c r="AJ74" i="5"/>
  <c r="X74" i="5"/>
  <c r="I74" i="5"/>
  <c r="AP71" i="5"/>
  <c r="AP70" i="5"/>
  <c r="AJ71" i="5"/>
  <c r="AJ70" i="5"/>
  <c r="I71" i="5"/>
  <c r="I70" i="5"/>
  <c r="AJ64" i="5"/>
  <c r="AJ63" i="5"/>
  <c r="AJ62" i="5"/>
  <c r="AV61" i="5"/>
  <c r="AV60" i="5"/>
  <c r="AV58" i="5"/>
  <c r="AV57" i="5"/>
  <c r="AV59" i="5"/>
  <c r="AP734" i="5" l="1"/>
  <c r="AP733" i="5"/>
  <c r="AP732" i="5"/>
  <c r="AP731" i="5"/>
  <c r="AP730" i="5"/>
  <c r="AP44" i="5" l="1"/>
  <c r="AJ44" i="5"/>
  <c r="AJ43" i="5"/>
  <c r="AG43" i="5"/>
  <c r="AG44" i="5"/>
  <c r="L43" i="5"/>
  <c r="L44" i="5"/>
  <c r="BE243" i="5"/>
  <c r="X35" i="5"/>
  <c r="X34" i="5"/>
  <c r="L22" i="5"/>
  <c r="BE33" i="5"/>
  <c r="AD33" i="5"/>
  <c r="AD32" i="5"/>
  <c r="L33" i="5"/>
  <c r="AM31" i="5"/>
  <c r="AM30" i="5"/>
  <c r="AM29" i="5"/>
  <c r="AJ31" i="5"/>
  <c r="AJ30" i="5"/>
  <c r="AJ29" i="5"/>
  <c r="O29" i="5"/>
  <c r="AP22" i="5"/>
  <c r="AP21" i="5"/>
  <c r="AJ22" i="5"/>
  <c r="AJ21" i="5"/>
  <c r="AA22" i="5"/>
  <c r="AA21" i="5"/>
  <c r="BE17" i="5"/>
  <c r="AG20" i="5"/>
  <c r="AG19" i="5"/>
  <c r="AG18" i="5"/>
  <c r="AG17" i="5"/>
  <c r="AY15" i="5"/>
  <c r="AP15" i="5"/>
  <c r="AM15" i="5"/>
  <c r="AJ15" i="5"/>
  <c r="AG15" i="5"/>
  <c r="O15" i="5"/>
  <c r="L15" i="5"/>
  <c r="AJ3" i="5"/>
  <c r="BH790" i="5"/>
  <c r="BE790" i="5"/>
  <c r="BE789" i="5"/>
  <c r="BH789" i="5"/>
  <c r="BH788" i="5"/>
  <c r="BE788" i="5"/>
  <c r="AM787" i="5"/>
  <c r="AA787" i="5"/>
  <c r="U787" i="5"/>
  <c r="I787" i="5"/>
  <c r="AM786" i="5"/>
  <c r="AA786" i="5"/>
  <c r="I786" i="5"/>
  <c r="AM785" i="5"/>
  <c r="AA785" i="5"/>
  <c r="I785" i="5"/>
  <c r="AV784" i="5"/>
  <c r="AV764" i="5"/>
  <c r="AV763" i="5"/>
  <c r="BE753" i="5"/>
  <c r="BE752" i="5"/>
  <c r="BE751" i="5"/>
  <c r="BE750" i="5"/>
  <c r="BE749" i="5"/>
  <c r="BE748" i="5"/>
  <c r="BE747" i="5"/>
  <c r="BE746" i="5"/>
  <c r="AP753" i="5"/>
  <c r="AP752" i="5"/>
  <c r="AP751" i="5"/>
  <c r="AP750" i="5"/>
  <c r="AP749" i="5"/>
  <c r="AP748" i="5"/>
  <c r="AP747" i="5"/>
  <c r="AP746" i="5"/>
  <c r="O753" i="5"/>
  <c r="O752" i="5"/>
  <c r="O751" i="5"/>
  <c r="O750" i="5"/>
  <c r="O749" i="5"/>
  <c r="O748" i="5"/>
  <c r="O747" i="5"/>
  <c r="O746" i="5"/>
  <c r="BE745" i="5"/>
  <c r="BB738" i="5"/>
  <c r="AP745" i="5"/>
  <c r="AP744" i="5"/>
  <c r="AP743" i="5"/>
  <c r="AP742" i="5"/>
  <c r="AP740" i="5"/>
  <c r="AP741" i="5"/>
  <c r="AP739" i="5"/>
  <c r="AP738" i="5"/>
  <c r="AG738" i="5"/>
  <c r="X738" i="5"/>
  <c r="L738" i="5"/>
  <c r="AP737" i="5"/>
  <c r="AP736" i="5"/>
  <c r="AP735" i="5"/>
  <c r="O737" i="5"/>
  <c r="BH729" i="5"/>
  <c r="BB720" i="5"/>
  <c r="AA720" i="5"/>
  <c r="R720" i="5"/>
  <c r="L720" i="5"/>
  <c r="BB711" i="5"/>
  <c r="BB710" i="5"/>
  <c r="BB709" i="5"/>
  <c r="AV710" i="5"/>
  <c r="AP710" i="5"/>
  <c r="AM710" i="5"/>
  <c r="AJ710" i="5"/>
  <c r="AJ709" i="5"/>
  <c r="AG710" i="5"/>
  <c r="AG709" i="5"/>
  <c r="AD710" i="5"/>
  <c r="AD709" i="5"/>
  <c r="AA711" i="5"/>
  <c r="X710" i="5"/>
  <c r="U710" i="5"/>
  <c r="U709" i="5"/>
  <c r="L709" i="5"/>
  <c r="L710" i="5"/>
  <c r="BB706" i="5"/>
  <c r="BB707" i="5"/>
  <c r="AY707" i="5"/>
  <c r="AS706" i="5"/>
  <c r="AS707" i="5"/>
  <c r="AJ707" i="5"/>
  <c r="AJ706" i="5"/>
  <c r="AG706" i="5"/>
  <c r="AG707" i="5"/>
  <c r="AA708" i="5"/>
  <c r="AA707" i="5"/>
  <c r="X707" i="5"/>
  <c r="U707" i="5"/>
  <c r="U706" i="5"/>
  <c r="L706" i="5"/>
  <c r="L707" i="5"/>
  <c r="BE702" i="5"/>
  <c r="AD702" i="5"/>
  <c r="BE701" i="5"/>
  <c r="BE700" i="5"/>
  <c r="AD701" i="5"/>
  <c r="AD700" i="5"/>
  <c r="BE699" i="5"/>
  <c r="BE698" i="5"/>
  <c r="AD699" i="5"/>
  <c r="AD698" i="5"/>
  <c r="L699" i="5"/>
  <c r="AJ697" i="5"/>
  <c r="AJ696" i="5"/>
  <c r="X689" i="5"/>
  <c r="I689" i="5"/>
  <c r="X688" i="5"/>
  <c r="I688" i="5"/>
  <c r="X687" i="5"/>
  <c r="U687" i="5"/>
  <c r="I687" i="5"/>
  <c r="BB682" i="5"/>
  <c r="BB681" i="5"/>
  <c r="BB680" i="5"/>
  <c r="BB679" i="5"/>
  <c r="BB678" i="5"/>
  <c r="AV682" i="5"/>
  <c r="AV681" i="5"/>
  <c r="AP682" i="5"/>
  <c r="AP681" i="5"/>
  <c r="AP680" i="5"/>
  <c r="AP679" i="5"/>
  <c r="AM682" i="5"/>
  <c r="AM681" i="5"/>
  <c r="AJ682" i="5"/>
  <c r="AJ681" i="5"/>
  <c r="AJ680" i="5"/>
  <c r="AJ679" i="5"/>
  <c r="AJ677" i="5"/>
  <c r="AJ678" i="5"/>
  <c r="X680" i="5"/>
  <c r="X679" i="5"/>
  <c r="I682" i="5"/>
  <c r="I681" i="5"/>
  <c r="I680" i="5"/>
  <c r="I679" i="5"/>
  <c r="BE678" i="5"/>
  <c r="BE653" i="5"/>
  <c r="BB677" i="5"/>
  <c r="AY677" i="5"/>
  <c r="AV678" i="5"/>
  <c r="AP678" i="5"/>
  <c r="AG678" i="5"/>
  <c r="AG677" i="5"/>
  <c r="AD677" i="5"/>
  <c r="AD678" i="5"/>
  <c r="X678" i="5"/>
  <c r="X677" i="5"/>
  <c r="U678" i="5"/>
  <c r="U676" i="5"/>
  <c r="O678" i="5"/>
  <c r="I678" i="5"/>
  <c r="BB676" i="5"/>
  <c r="BB675" i="5"/>
  <c r="BB674" i="5"/>
  <c r="BB673" i="5"/>
  <c r="AV676" i="5"/>
  <c r="AV675" i="5"/>
  <c r="AV674" i="5"/>
  <c r="AV673" i="5"/>
  <c r="AP674" i="5"/>
  <c r="AP673" i="5"/>
  <c r="AM674" i="5"/>
  <c r="AM673" i="5"/>
  <c r="AJ676" i="5"/>
  <c r="AJ675" i="5"/>
  <c r="AJ674" i="5"/>
  <c r="AJ673" i="5"/>
  <c r="AD676" i="5"/>
  <c r="AD675" i="5"/>
  <c r="AD674" i="5"/>
  <c r="AD673" i="5"/>
  <c r="U673" i="5"/>
  <c r="U674" i="5"/>
  <c r="U675" i="5"/>
  <c r="R675" i="5"/>
  <c r="R673" i="5"/>
  <c r="O674" i="5"/>
  <c r="O675" i="5"/>
  <c r="O673" i="5"/>
  <c r="AD659" i="5"/>
  <c r="X659" i="5"/>
  <c r="X658" i="5"/>
  <c r="X657" i="5"/>
  <c r="X656" i="5"/>
  <c r="AD653" i="5"/>
  <c r="AV652" i="5"/>
  <c r="AP652" i="5"/>
  <c r="AA652" i="5"/>
  <c r="X642" i="5"/>
  <c r="X641" i="5"/>
  <c r="AJ640" i="5"/>
  <c r="L640" i="5"/>
  <c r="BB639" i="5"/>
  <c r="AM639" i="5"/>
  <c r="AJ639" i="5"/>
  <c r="AG639" i="5"/>
  <c r="AD639" i="5"/>
  <c r="AD638" i="5"/>
  <c r="X639" i="5"/>
  <c r="L639" i="5"/>
  <c r="I639" i="5"/>
  <c r="BB638" i="5"/>
  <c r="AG638" i="5"/>
  <c r="AD637" i="5"/>
  <c r="X638" i="5"/>
  <c r="L638" i="5"/>
  <c r="I638" i="5"/>
  <c r="BB637" i="5"/>
  <c r="AG637" i="5"/>
  <c r="X637" i="5"/>
  <c r="L637" i="5"/>
  <c r="I637" i="5"/>
  <c r="BB636" i="5"/>
  <c r="AM636" i="5"/>
  <c r="AG636" i="5"/>
  <c r="AD636" i="5"/>
  <c r="X636" i="5"/>
  <c r="L636" i="5"/>
  <c r="I636" i="5"/>
  <c r="X633" i="5" l="1"/>
  <c r="AS622" i="5"/>
  <c r="AS624" i="5"/>
  <c r="AS626" i="5"/>
  <c r="AJ627" i="5"/>
  <c r="BE620" i="5"/>
  <c r="AS620" i="5"/>
  <c r="AS619" i="5"/>
  <c r="X620" i="5"/>
  <c r="BE616" i="5"/>
  <c r="AJ616" i="5"/>
  <c r="AD616" i="5"/>
  <c r="AA616" i="5"/>
  <c r="I616" i="5"/>
  <c r="BE615" i="5"/>
  <c r="AM615" i="5"/>
  <c r="AJ615" i="5"/>
  <c r="AD615" i="5"/>
  <c r="AA615" i="5"/>
  <c r="L615" i="5"/>
  <c r="I615" i="5"/>
  <c r="BE614" i="5"/>
  <c r="AV614" i="5"/>
  <c r="AP614" i="5"/>
  <c r="AJ614" i="5"/>
  <c r="AD614" i="5"/>
  <c r="AA614" i="5"/>
  <c r="R614" i="5"/>
  <c r="R507" i="5"/>
  <c r="L614" i="5"/>
  <c r="I614" i="5"/>
  <c r="AY612" i="5"/>
  <c r="AS612" i="5"/>
  <c r="AJ612" i="5"/>
  <c r="AY611" i="5"/>
  <c r="AM611" i="5"/>
  <c r="AJ611" i="5"/>
  <c r="AA611" i="5"/>
  <c r="L611" i="5"/>
  <c r="AY610" i="5"/>
  <c r="AM610" i="5"/>
  <c r="AJ610" i="5"/>
  <c r="L610" i="5"/>
  <c r="AY609" i="5"/>
  <c r="AV609" i="5"/>
  <c r="AM609" i="5"/>
  <c r="AJ609" i="5"/>
  <c r="L609" i="5"/>
  <c r="AG607" i="5"/>
  <c r="AD607" i="5"/>
  <c r="I607" i="5"/>
  <c r="AJ593" i="5"/>
  <c r="I593" i="5"/>
  <c r="AJ592" i="5"/>
  <c r="I592" i="5"/>
  <c r="I591" i="5"/>
  <c r="AG591" i="5"/>
  <c r="AJ591" i="5"/>
  <c r="AP591" i="5"/>
  <c r="BB591" i="5"/>
  <c r="BB590" i="5"/>
  <c r="AP590" i="5"/>
  <c r="AJ590" i="5"/>
  <c r="AG590" i="5"/>
  <c r="I590" i="5"/>
  <c r="I589" i="5"/>
  <c r="AG589" i="5"/>
  <c r="AJ589" i="5"/>
  <c r="AP589" i="5"/>
  <c r="BB589" i="5"/>
  <c r="BE589" i="5"/>
  <c r="BB577" i="5"/>
  <c r="BB578" i="5"/>
  <c r="AP573" i="5"/>
  <c r="AG573" i="5"/>
  <c r="I573" i="5"/>
  <c r="AP572" i="5"/>
  <c r="AG572" i="5"/>
  <c r="X572" i="5"/>
  <c r="I572" i="5"/>
  <c r="AP571" i="5"/>
  <c r="AJ571" i="5"/>
  <c r="AG571" i="5"/>
  <c r="I571" i="5"/>
  <c r="AD564" i="5"/>
  <c r="I562" i="5"/>
  <c r="I561" i="5"/>
  <c r="I560" i="5"/>
  <c r="AP559" i="5"/>
  <c r="AM559" i="5"/>
  <c r="AJ559" i="5"/>
  <c r="U559" i="5"/>
  <c r="AP558" i="5"/>
  <c r="AM558" i="5"/>
  <c r="AJ558" i="5"/>
  <c r="U558" i="5"/>
  <c r="AP557" i="5"/>
  <c r="AM557" i="5"/>
  <c r="AJ557" i="5"/>
  <c r="AJ309" i="5"/>
  <c r="AJ321" i="5"/>
  <c r="AD362" i="5"/>
  <c r="BE542" i="5"/>
  <c r="AV542" i="5"/>
  <c r="AG542" i="5"/>
  <c r="X542" i="5"/>
  <c r="U542" i="5"/>
  <c r="I542" i="5"/>
  <c r="X534" i="5"/>
  <c r="X533" i="5"/>
  <c r="BB521" i="5"/>
  <c r="BB522" i="5"/>
  <c r="BB523" i="5"/>
  <c r="BB524" i="5"/>
  <c r="BB526" i="5"/>
  <c r="AJ521" i="5"/>
  <c r="R524" i="5"/>
  <c r="BE519" i="5"/>
  <c r="AJ519" i="5"/>
  <c r="AG519" i="5"/>
  <c r="AD519" i="5"/>
  <c r="X519" i="5"/>
  <c r="I519" i="5"/>
  <c r="AG518" i="5"/>
  <c r="X518" i="5"/>
  <c r="I518" i="5"/>
  <c r="L465" i="5"/>
  <c r="I486" i="5"/>
  <c r="BH307" i="5" l="1"/>
  <c r="AG511" i="5"/>
  <c r="AG510" i="5"/>
  <c r="BH507" i="5"/>
  <c r="BB507" i="5"/>
  <c r="L507" i="5"/>
  <c r="AP506" i="5" l="1"/>
  <c r="X506" i="5"/>
  <c r="O506" i="5"/>
  <c r="AP505" i="5"/>
  <c r="X505" i="5"/>
  <c r="O505" i="5"/>
  <c r="AP504" i="5"/>
  <c r="X504" i="5"/>
  <c r="O504" i="5"/>
  <c r="AJ501" i="5"/>
  <c r="AA501" i="5"/>
  <c r="X501" i="5"/>
  <c r="L501" i="5"/>
  <c r="BB496" i="5"/>
  <c r="BB495" i="5"/>
  <c r="L495" i="5"/>
  <c r="AJ488" i="5"/>
  <c r="I488" i="5"/>
  <c r="AJ487" i="5"/>
  <c r="I487" i="5"/>
  <c r="BB486" i="5"/>
  <c r="AM486" i="5"/>
  <c r="U486" i="5"/>
  <c r="BB485" i="5"/>
  <c r="AM485" i="5"/>
  <c r="U485" i="5"/>
  <c r="I485" i="5"/>
  <c r="BB484" i="5"/>
  <c r="AM484" i="5"/>
  <c r="U484" i="5"/>
  <c r="I484" i="5"/>
  <c r="BB483" i="5"/>
  <c r="AP483" i="5"/>
  <c r="AJ483" i="5"/>
  <c r="AG483" i="5"/>
  <c r="AA483" i="5"/>
  <c r="X483" i="5"/>
  <c r="R483" i="5"/>
  <c r="I483" i="5"/>
  <c r="L471" i="5"/>
  <c r="AJ465" i="5"/>
  <c r="AS464" i="5"/>
  <c r="U460" i="5"/>
  <c r="U459" i="5"/>
  <c r="L459" i="5"/>
  <c r="AP457" i="5"/>
  <c r="X457" i="5"/>
  <c r="AP456" i="5"/>
  <c r="X456" i="5"/>
  <c r="AP455" i="5"/>
  <c r="X455" i="5"/>
  <c r="BE454" i="5"/>
  <c r="BB454" i="5"/>
  <c r="AV454" i="5"/>
  <c r="AP454" i="5"/>
  <c r="AM454" i="5"/>
  <c r="X454" i="5"/>
  <c r="O454" i="5"/>
  <c r="BE453" i="5"/>
  <c r="BB453" i="5"/>
  <c r="AV453" i="5"/>
  <c r="AP453" i="5"/>
  <c r="AM453" i="5"/>
  <c r="AD453" i="5"/>
  <c r="X453" i="5"/>
  <c r="O453" i="5"/>
  <c r="BE452" i="5"/>
  <c r="BB452" i="5" l="1"/>
  <c r="AV452" i="5"/>
  <c r="AP452" i="5"/>
  <c r="AM452" i="5"/>
  <c r="X452" i="5"/>
  <c r="O452" i="5"/>
  <c r="BB447" i="5"/>
  <c r="AP447" i="5"/>
  <c r="AJ447" i="5"/>
  <c r="AG447" i="5"/>
  <c r="X447" i="5"/>
  <c r="BB446" i="5"/>
  <c r="AP446" i="5"/>
  <c r="AG446" i="5"/>
  <c r="X446" i="5"/>
  <c r="AY445" i="5"/>
  <c r="AS431" i="5"/>
  <c r="U445" i="5" l="1"/>
  <c r="BE438" i="5"/>
  <c r="BB438" i="5"/>
  <c r="AP438" i="5"/>
  <c r="AG438" i="5"/>
  <c r="AD438" i="5"/>
  <c r="AA438" i="5"/>
  <c r="X438" i="5"/>
  <c r="R438" i="5"/>
  <c r="BE437" i="5"/>
  <c r="BB437" i="5"/>
  <c r="AP437" i="5"/>
  <c r="AG437" i="5"/>
  <c r="AD437" i="5"/>
  <c r="AD436" i="5"/>
  <c r="AA437" i="5"/>
  <c r="X437" i="5"/>
  <c r="L438" i="5"/>
  <c r="L437" i="5"/>
  <c r="I438" i="5"/>
  <c r="I437" i="5"/>
  <c r="BE436" i="5"/>
  <c r="BB436" i="5"/>
  <c r="AP436" i="5"/>
  <c r="AG436" i="5"/>
  <c r="AA436" i="5"/>
  <c r="X436" i="5"/>
  <c r="I436" i="5"/>
  <c r="BE430" i="5"/>
  <c r="AV430" i="5"/>
  <c r="AS430" i="5"/>
  <c r="AA430" i="5"/>
  <c r="O430" i="5"/>
  <c r="BE432" i="5"/>
  <c r="AV432" i="5"/>
  <c r="AS432" i="5"/>
  <c r="AA432" i="5"/>
  <c r="O432" i="5"/>
  <c r="L432" i="5"/>
  <c r="BE431" i="5"/>
  <c r="AV431" i="5"/>
  <c r="O431" i="5"/>
  <c r="BH373" i="5"/>
  <c r="BE419" i="5"/>
  <c r="U419" i="5"/>
  <c r="U418" i="5"/>
  <c r="BB414" i="5"/>
  <c r="AJ414" i="5"/>
  <c r="AG414" i="5"/>
  <c r="X414" i="5"/>
  <c r="L414" i="5"/>
  <c r="I414" i="5"/>
  <c r="L413" i="5"/>
  <c r="AP404" i="5" l="1"/>
  <c r="AP405" i="5"/>
  <c r="AJ405" i="5"/>
  <c r="X405" i="5"/>
  <c r="X404" i="5"/>
  <c r="AJ404" i="5"/>
  <c r="AS379" i="5" l="1"/>
  <c r="AJ379" i="5"/>
  <c r="AS378" i="5"/>
  <c r="AJ378" i="5"/>
  <c r="AJ377" i="5"/>
  <c r="BH376" i="5"/>
  <c r="BH375" i="5"/>
  <c r="AJ370" i="5"/>
  <c r="AD370" i="5"/>
  <c r="X370" i="5"/>
  <c r="AJ369" i="5"/>
  <c r="AD369" i="5"/>
  <c r="X369" i="5"/>
  <c r="AJ368" i="5"/>
  <c r="X368" i="5"/>
  <c r="BE367" i="5"/>
  <c r="AY367" i="5"/>
  <c r="AS367" i="5"/>
  <c r="X367" i="5"/>
  <c r="S367" i="5"/>
  <c r="I367" i="5"/>
  <c r="U366" i="5"/>
  <c r="AP365" i="5"/>
  <c r="AP364" i="5"/>
  <c r="AP363" i="5"/>
  <c r="AJ365" i="5"/>
  <c r="AJ364" i="5"/>
  <c r="AJ363" i="5"/>
  <c r="AD363" i="5"/>
  <c r="AA365" i="5"/>
  <c r="O365" i="5"/>
  <c r="O364" i="5"/>
  <c r="O363" i="5"/>
  <c r="I365" i="5"/>
  <c r="I364" i="5"/>
  <c r="I363" i="5"/>
  <c r="I362" i="5"/>
  <c r="BE350" i="5"/>
  <c r="AP350" i="5"/>
  <c r="AJ350" i="5"/>
  <c r="AD350" i="5"/>
  <c r="AA350" i="5"/>
  <c r="X350" i="5"/>
  <c r="R350" i="5"/>
  <c r="O350" i="5"/>
  <c r="AP346" i="5" l="1"/>
  <c r="AP345" i="5"/>
  <c r="AP344" i="5"/>
  <c r="BE341" i="5"/>
  <c r="X341" i="5"/>
  <c r="L341" i="5"/>
  <c r="BE340" i="5"/>
  <c r="X340" i="5"/>
  <c r="L340" i="5"/>
  <c r="AJ331" i="5"/>
  <c r="AJ330" i="5"/>
  <c r="AJ329" i="5"/>
  <c r="AJ322" i="5"/>
  <c r="BE315" i="5"/>
  <c r="AP315" i="5"/>
  <c r="AD315" i="5"/>
  <c r="AA315" i="5"/>
  <c r="AA314" i="5"/>
  <c r="BE314" i="5"/>
  <c r="AP314" i="5"/>
  <c r="AD314" i="5"/>
  <c r="U308" i="5" l="1"/>
  <c r="U307" i="5"/>
  <c r="U306" i="5"/>
  <c r="L308" i="5"/>
  <c r="L307" i="5"/>
  <c r="L306" i="5"/>
  <c r="X299" i="5"/>
  <c r="L299" i="5"/>
  <c r="AJ290" i="5"/>
  <c r="AA290" i="5"/>
  <c r="AG289" i="5"/>
  <c r="O289" i="5"/>
  <c r="I289" i="5"/>
  <c r="BB277" i="5"/>
  <c r="BB276" i="5"/>
  <c r="AP277" i="5"/>
  <c r="AP276" i="5"/>
  <c r="AG277" i="5"/>
  <c r="AG276" i="5"/>
  <c r="U277" i="5"/>
  <c r="U276" i="5"/>
  <c r="L277" i="5"/>
  <c r="L276" i="5"/>
  <c r="AP263" i="5"/>
  <c r="AJ263" i="5"/>
  <c r="R263" i="5"/>
  <c r="L261" i="5"/>
  <c r="X249" i="5"/>
  <c r="X248" i="5"/>
  <c r="BB243" i="5"/>
  <c r="BB242" i="5"/>
  <c r="AV243" i="5"/>
  <c r="AV242" i="5"/>
  <c r="AP243" i="5"/>
  <c r="AP242" i="5"/>
  <c r="AM243" i="5"/>
  <c r="AM242" i="5"/>
  <c r="AJ243" i="5"/>
  <c r="AJ242" i="5"/>
  <c r="AD243" i="5"/>
  <c r="AD242" i="5"/>
  <c r="AA243" i="5"/>
  <c r="AA242" i="5"/>
  <c r="R243" i="5"/>
  <c r="O243" i="5"/>
  <c r="X243" i="5"/>
  <c r="X242" i="5"/>
  <c r="O242" i="5"/>
  <c r="L237" i="5"/>
  <c r="L242" i="5"/>
  <c r="R237" i="5"/>
  <c r="AJ310" i="5"/>
  <c r="BE237" i="5"/>
  <c r="BB237" i="5"/>
  <c r="AM237" i="5"/>
  <c r="AD237" i="5"/>
  <c r="U237" i="5"/>
  <c r="U13" i="11" l="1"/>
  <c r="U10" i="11" s="1"/>
  <c r="C9" i="15" l="1" a="1"/>
  <c r="C9" i="15" s="1"/>
  <c r="H6" i="11"/>
  <c r="C58" i="15" a="1"/>
  <c r="C58" i="15" s="1"/>
  <c r="C69" i="15" a="1"/>
  <c r="C69" i="15" s="1"/>
  <c r="C77" i="15" a="1"/>
  <c r="C77" i="15" s="1"/>
  <c r="C18" i="15" a="1"/>
  <c r="C18" i="15" s="1"/>
  <c r="C51" i="15" a="1"/>
  <c r="C51" i="15" s="1"/>
  <c r="C19" i="15" a="1"/>
  <c r="C19" i="15" s="1"/>
  <c r="C26" i="15" a="1"/>
  <c r="C26" i="15" s="1"/>
  <c r="C71" i="15" a="1"/>
  <c r="C71" i="15" s="1"/>
  <c r="C24" i="15" a="1"/>
  <c r="C24" i="15" s="1"/>
  <c r="C63" i="15" a="1"/>
  <c r="C63" i="15" s="1"/>
  <c r="C32" i="15" a="1"/>
  <c r="C32" i="15" s="1"/>
  <c r="C46" i="15" a="1"/>
  <c r="C46" i="15" s="1"/>
  <c r="C78" i="15" a="1"/>
  <c r="C78" i="15" s="1"/>
  <c r="C55" i="15" l="1" a="1"/>
  <c r="C55" i="15" s="1"/>
  <c r="C25" i="15" a="1"/>
  <c r="C25" i="15" s="1"/>
  <c r="C4" i="15" a="1"/>
  <c r="C4" i="15" s="1"/>
  <c r="C27" i="15" a="1"/>
  <c r="C27" i="15" s="1"/>
  <c r="X11" i="11"/>
  <c r="X10" i="11"/>
  <c r="C56" i="15" a="1"/>
  <c r="C56" i="15" s="1"/>
  <c r="C37" i="15" a="1"/>
  <c r="C37" i="15" s="1"/>
  <c r="C33" i="15" a="1"/>
  <c r="C33" i="15" s="1"/>
  <c r="C42" i="15" a="1"/>
  <c r="C42" i="15" s="1"/>
  <c r="C70" i="15" a="1"/>
  <c r="C70" i="15" s="1"/>
  <c r="C53" i="15" a="1"/>
  <c r="C53" i="15" s="1"/>
  <c r="C38" i="15" a="1"/>
  <c r="C38" i="15" s="1"/>
  <c r="C47" i="15" a="1"/>
  <c r="C47" i="15" s="1"/>
  <c r="C66" i="15" a="1"/>
  <c r="C66" i="15" s="1"/>
  <c r="C23" i="15" a="1"/>
  <c r="C23" i="15" s="1"/>
  <c r="C40" i="15" a="1"/>
  <c r="C40" i="15" s="1"/>
  <c r="C72" i="15" a="1"/>
  <c r="C72" i="15" s="1"/>
  <c r="C62" i="15" a="1"/>
  <c r="C62" i="15" s="1"/>
  <c r="C5" i="15" a="1"/>
  <c r="C5" i="15" s="1"/>
  <c r="C17" i="15" a="1"/>
  <c r="C17" i="15" s="1"/>
  <c r="C61" i="15" a="1"/>
  <c r="C61" i="15" s="1"/>
  <c r="C41" i="15" a="1"/>
  <c r="C41" i="15" s="1"/>
  <c r="C76" i="15" a="1"/>
  <c r="C76" i="15" s="1"/>
  <c r="C11" i="15" a="1"/>
  <c r="C11" i="15" s="1"/>
  <c r="C75" i="15" a="1"/>
  <c r="C75" i="15" s="1"/>
  <c r="C68" i="15" a="1"/>
  <c r="C68" i="15" s="1"/>
  <c r="C64" i="15" a="1"/>
  <c r="C64" i="15" s="1"/>
  <c r="C10" i="15" a="1"/>
  <c r="C10" i="15" s="1"/>
  <c r="C7" i="15" a="1"/>
  <c r="C7" i="15" s="1"/>
  <c r="C43" i="15" a="1"/>
  <c r="C43" i="15" s="1"/>
  <c r="C48" i="15" a="1"/>
  <c r="C48" i="15" s="1"/>
  <c r="C21" i="15" a="1"/>
  <c r="C21" i="15" s="1"/>
  <c r="C60" i="15" a="1"/>
  <c r="C60" i="15" s="1"/>
  <c r="C79" i="15" a="1"/>
  <c r="C79" i="15" s="1"/>
  <c r="C44" i="15" a="1"/>
  <c r="C44" i="15" s="1"/>
  <c r="C49" i="15" a="1"/>
  <c r="C49" i="15" s="1"/>
  <c r="C35" i="15" a="1"/>
  <c r="C35" i="15" s="1"/>
  <c r="C22" i="15" a="1"/>
  <c r="C22" i="15" s="1"/>
  <c r="C50" i="15" a="1"/>
  <c r="C50" i="15" s="1"/>
  <c r="C65" i="15" a="1"/>
  <c r="C65" i="15" s="1"/>
  <c r="C12" i="15" a="1"/>
  <c r="C12" i="15" s="1"/>
  <c r="C45" i="15" a="1"/>
  <c r="C45" i="15" s="1"/>
  <c r="C29" i="15" a="1"/>
  <c r="C29" i="15" s="1"/>
  <c r="C36" i="15" a="1"/>
  <c r="C36" i="15" s="1"/>
  <c r="C31" i="15" a="1"/>
  <c r="C31" i="15" s="1"/>
  <c r="C39" i="15" a="1"/>
  <c r="C39" i="15" s="1"/>
  <c r="C74" i="15" a="1"/>
  <c r="C74" i="15" s="1"/>
  <c r="C16" i="15" a="1"/>
  <c r="C16" i="15" s="1"/>
  <c r="C59" i="15" a="1"/>
  <c r="C59" i="15" s="1"/>
  <c r="C67" i="15" a="1"/>
  <c r="C67" i="15" s="1"/>
  <c r="C13" i="15" a="1"/>
  <c r="C13" i="15" s="1"/>
  <c r="C28" i="15" a="1"/>
  <c r="C28" i="15" s="1"/>
  <c r="C20" i="15" a="1"/>
  <c r="C20" i="15" s="1"/>
  <c r="C14" i="15" a="1"/>
  <c r="C14" i="15" s="1"/>
  <c r="C34" i="15" a="1"/>
  <c r="C34" i="15" s="1"/>
  <c r="C57" i="15" a="1"/>
  <c r="C57" i="15" s="1"/>
  <c r="C54" i="15" a="1"/>
  <c r="C54" i="15" s="1"/>
  <c r="C2" i="15" a="1"/>
  <c r="C2" i="15" s="1"/>
  <c r="C52" i="15" a="1"/>
  <c r="C52" i="15" s="1"/>
  <c r="C73" i="15" a="1"/>
  <c r="C73" i="15" s="1"/>
  <c r="C30" i="15" a="1"/>
  <c r="C30" i="15" s="1"/>
  <c r="B4" i="13" a="1"/>
  <c r="C295" i="13" l="1"/>
  <c r="C293" i="13"/>
  <c r="C302" i="13"/>
  <c r="C300" i="13"/>
  <c r="C291" i="13"/>
  <c r="C305" i="13"/>
  <c r="C304" i="13"/>
  <c r="C303" i="13"/>
  <c r="C299" i="13"/>
  <c r="C297" i="13"/>
  <c r="C294" i="13"/>
  <c r="C307" i="13"/>
  <c r="C306" i="13"/>
  <c r="C289" i="13"/>
  <c r="C288" i="13"/>
  <c r="C296" i="13"/>
  <c r="C301" i="13"/>
  <c r="C292" i="13"/>
  <c r="C290" i="13"/>
  <c r="C298" i="13"/>
  <c r="C284" i="13"/>
  <c r="C285" i="13"/>
  <c r="C287" i="13"/>
  <c r="C286" i="13"/>
  <c r="C283" i="13"/>
  <c r="C246" i="13"/>
  <c r="C263" i="13"/>
  <c r="C264" i="13"/>
  <c r="C260" i="13"/>
  <c r="C272" i="13"/>
  <c r="C278" i="13"/>
  <c r="C275" i="13"/>
  <c r="C274" i="13"/>
  <c r="C271" i="13"/>
  <c r="C280" i="13"/>
  <c r="C282" i="13"/>
  <c r="C281" i="13"/>
  <c r="C262" i="13"/>
  <c r="C277" i="13"/>
  <c r="C258" i="13"/>
  <c r="C273" i="13"/>
  <c r="C268" i="13"/>
  <c r="C267" i="13"/>
  <c r="C266" i="13"/>
  <c r="C265" i="13"/>
  <c r="C279" i="13"/>
  <c r="C259" i="13"/>
  <c r="C261" i="13"/>
  <c r="C276" i="13"/>
  <c r="C257" i="13"/>
  <c r="C270" i="13"/>
  <c r="C269" i="13"/>
  <c r="C255" i="13"/>
  <c r="C256" i="13"/>
  <c r="C244" i="13"/>
  <c r="C251" i="13"/>
  <c r="C240" i="13"/>
  <c r="C254" i="13"/>
  <c r="C238" i="13"/>
  <c r="C247" i="13"/>
  <c r="C237" i="13"/>
  <c r="C243" i="13"/>
  <c r="C241" i="13"/>
  <c r="C242" i="13"/>
  <c r="C252" i="13"/>
  <c r="C248" i="13"/>
  <c r="C253" i="13"/>
  <c r="C239" i="13"/>
  <c r="C236" i="13"/>
  <c r="C250" i="13"/>
  <c r="C249" i="13"/>
  <c r="C245" i="13"/>
  <c r="C94" i="13"/>
  <c r="C83" i="13"/>
  <c r="C196" i="13"/>
  <c r="C210" i="13"/>
  <c r="C193" i="13"/>
  <c r="C64" i="13"/>
  <c r="C225" i="13"/>
  <c r="C165" i="13"/>
  <c r="C27" i="13"/>
  <c r="C175" i="13"/>
  <c r="C205" i="13"/>
  <c r="C56" i="13"/>
  <c r="C110" i="13"/>
  <c r="C125" i="13"/>
  <c r="C147" i="13"/>
  <c r="C167" i="13"/>
  <c r="C176" i="13"/>
  <c r="C81" i="13"/>
  <c r="C93" i="13"/>
  <c r="C70" i="13"/>
  <c r="C162" i="13"/>
  <c r="C111" i="13"/>
  <c r="C5" i="13"/>
  <c r="C212" i="13"/>
  <c r="C226" i="13"/>
  <c r="C172" i="13"/>
  <c r="C115" i="13"/>
  <c r="C63" i="13"/>
  <c r="C34" i="13"/>
  <c r="C69" i="13"/>
  <c r="C106" i="13"/>
  <c r="C65" i="13"/>
  <c r="C114" i="13"/>
  <c r="C208" i="13"/>
  <c r="C100" i="13"/>
  <c r="C164" i="13"/>
  <c r="C78" i="13"/>
  <c r="C118" i="13"/>
  <c r="C21" i="13"/>
  <c r="C228" i="13"/>
  <c r="C209" i="13"/>
  <c r="C99" i="13"/>
  <c r="C101" i="13"/>
  <c r="C82" i="13"/>
  <c r="C24" i="13"/>
  <c r="C235" i="13"/>
  <c r="C156" i="13"/>
  <c r="C77" i="13"/>
  <c r="C217" i="13"/>
  <c r="C119" i="13"/>
  <c r="C30" i="13"/>
  <c r="C6" i="13"/>
  <c r="C154" i="13"/>
  <c r="C168" i="13"/>
  <c r="C16" i="13"/>
  <c r="C60" i="13"/>
  <c r="C155" i="13"/>
  <c r="C10" i="13"/>
  <c r="C206" i="13"/>
  <c r="C95" i="13"/>
  <c r="C32" i="13"/>
  <c r="C191" i="13"/>
  <c r="C173" i="13"/>
  <c r="C12" i="13"/>
  <c r="C161" i="13"/>
  <c r="C80" i="13"/>
  <c r="C17" i="13"/>
  <c r="C148" i="13"/>
  <c r="C220" i="13"/>
  <c r="C50" i="13"/>
  <c r="C31" i="13"/>
  <c r="C207" i="13"/>
  <c r="C67" i="13"/>
  <c r="C133" i="13"/>
  <c r="C11" i="13"/>
  <c r="C98" i="13"/>
  <c r="C84" i="13"/>
  <c r="C97" i="13"/>
  <c r="C41" i="13"/>
  <c r="C36" i="13"/>
  <c r="C123" i="13"/>
  <c r="C39" i="13"/>
  <c r="C134" i="13"/>
  <c r="C37" i="13"/>
  <c r="C51" i="13"/>
  <c r="C85" i="13"/>
  <c r="C152" i="13"/>
  <c r="C198" i="13"/>
  <c r="C144" i="13"/>
  <c r="C187" i="13"/>
  <c r="C90" i="13"/>
  <c r="C141" i="13"/>
  <c r="C142" i="13"/>
  <c r="C221" i="13"/>
  <c r="C66" i="13"/>
  <c r="C107" i="13"/>
  <c r="C170" i="13"/>
  <c r="C153" i="13"/>
  <c r="C143" i="13"/>
  <c r="C61" i="13"/>
  <c r="C126" i="13"/>
  <c r="C19" i="13"/>
  <c r="C40" i="13"/>
  <c r="C28" i="13"/>
  <c r="C14" i="13"/>
  <c r="C128" i="13"/>
  <c r="C47" i="13"/>
  <c r="C224" i="13"/>
  <c r="C92" i="13"/>
  <c r="C75" i="13"/>
  <c r="C45" i="13"/>
  <c r="C188" i="13"/>
  <c r="C140" i="13"/>
  <c r="C112" i="13"/>
  <c r="C192" i="13"/>
  <c r="C96" i="13"/>
  <c r="C52" i="13"/>
  <c r="C230" i="13"/>
  <c r="C174" i="13"/>
  <c r="C227" i="13"/>
  <c r="C213" i="13"/>
  <c r="C130" i="13"/>
  <c r="C190" i="13"/>
  <c r="C86" i="13"/>
  <c r="C145" i="13"/>
  <c r="C184" i="13"/>
  <c r="C55" i="13"/>
  <c r="C150" i="13"/>
  <c r="C35" i="13"/>
  <c r="C182" i="13"/>
  <c r="C183" i="13"/>
  <c r="C204" i="13"/>
  <c r="C48" i="13"/>
  <c r="C223" i="13"/>
  <c r="C222" i="13"/>
  <c r="C194" i="13"/>
  <c r="C26" i="13"/>
  <c r="C29" i="13"/>
  <c r="C117" i="13"/>
  <c r="C151" i="13"/>
  <c r="C15" i="13"/>
  <c r="C197" i="13"/>
  <c r="C38" i="13"/>
  <c r="C132" i="13"/>
  <c r="C76" i="13"/>
  <c r="C7" i="13"/>
  <c r="C178" i="13"/>
  <c r="C219" i="13"/>
  <c r="C120" i="13"/>
  <c r="C71" i="13"/>
  <c r="C53" i="13"/>
  <c r="C103" i="13"/>
  <c r="C179" i="13"/>
  <c r="C42" i="13"/>
  <c r="C202" i="13"/>
  <c r="C159" i="13"/>
  <c r="C149" i="13"/>
  <c r="C46" i="13"/>
  <c r="C13" i="13"/>
  <c r="C9" i="13"/>
  <c r="C177" i="13"/>
  <c r="C129" i="13"/>
  <c r="C109" i="13"/>
  <c r="C18" i="13"/>
  <c r="C214" i="13"/>
  <c r="C58" i="13"/>
  <c r="C91" i="13"/>
  <c r="C22" i="13"/>
  <c r="C20" i="13"/>
  <c r="C229" i="13"/>
  <c r="C79" i="13"/>
  <c r="C232" i="13"/>
  <c r="C180" i="13"/>
  <c r="C169" i="13"/>
  <c r="C108" i="13"/>
  <c r="C88" i="13"/>
  <c r="C166" i="13"/>
  <c r="B4" i="13"/>
  <c r="C4" i="13" s="1"/>
  <c r="C186" i="13"/>
  <c r="C57" i="13"/>
  <c r="C195" i="13"/>
  <c r="C135" i="13"/>
  <c r="C158" i="13"/>
  <c r="C160" i="13"/>
  <c r="C131" i="13"/>
  <c r="C215" i="13"/>
  <c r="C54" i="13"/>
  <c r="C146" i="13"/>
  <c r="C122" i="13"/>
  <c r="C116" i="13"/>
  <c r="C185" i="13"/>
  <c r="C218" i="13"/>
  <c r="C203" i="13"/>
  <c r="C87" i="13"/>
  <c r="C163" i="13"/>
  <c r="C25" i="13"/>
  <c r="C62" i="13"/>
  <c r="C49" i="13"/>
  <c r="C199" i="13"/>
  <c r="C139" i="13"/>
  <c r="C68" i="13"/>
  <c r="C137" i="13"/>
  <c r="C121" i="13"/>
  <c r="C102" i="13"/>
  <c r="C234" i="13"/>
  <c r="C201" i="13"/>
  <c r="C89" i="13"/>
  <c r="C233" i="13"/>
  <c r="C171" i="13"/>
  <c r="C73" i="13"/>
  <c r="C44" i="13"/>
  <c r="C23" i="13"/>
  <c r="C136" i="13"/>
  <c r="C8" i="13"/>
  <c r="C72" i="13"/>
  <c r="C200" i="13"/>
  <c r="C74" i="13"/>
  <c r="C231" i="13"/>
  <c r="C211" i="13"/>
  <c r="C189" i="13"/>
  <c r="C216" i="13"/>
  <c r="C33" i="13"/>
  <c r="C181" i="13"/>
  <c r="C138" i="13"/>
  <c r="C105" i="13"/>
  <c r="C59" i="13"/>
  <c r="C124" i="13"/>
  <c r="C113" i="13"/>
  <c r="C127" i="13"/>
  <c r="C43" i="13"/>
  <c r="C157" i="13"/>
  <c r="C104" i="13"/>
  <c r="D4" i="13" l="1"/>
  <c r="D5" i="13" s="1"/>
  <c r="D6" i="13" l="1"/>
  <c r="E5" i="13"/>
  <c r="E4" i="13"/>
  <c r="D7" i="13" l="1"/>
  <c r="E6" i="13"/>
  <c r="D8" i="13" l="1"/>
  <c r="E7" i="13"/>
  <c r="D9" i="13" l="1"/>
  <c r="E8" i="13"/>
  <c r="D10" i="13" l="1"/>
  <c r="E9" i="13"/>
  <c r="D11" i="13" l="1"/>
  <c r="E10" i="13"/>
  <c r="D12" i="13" l="1"/>
  <c r="E11" i="13"/>
  <c r="D13" i="13" l="1"/>
  <c r="E12" i="13"/>
  <c r="D14" i="13" l="1"/>
  <c r="E13" i="13"/>
  <c r="D15" i="13" l="1"/>
  <c r="E14" i="13"/>
  <c r="D16" i="13" l="1"/>
  <c r="E15" i="13"/>
  <c r="D17" i="13" l="1"/>
  <c r="E16" i="13"/>
  <c r="D18" i="13" l="1"/>
  <c r="E17" i="13"/>
  <c r="D19" i="13" l="1"/>
  <c r="E18" i="13"/>
  <c r="D20" i="13" l="1"/>
  <c r="E19" i="13"/>
  <c r="D21" i="13" l="1"/>
  <c r="E20" i="13"/>
  <c r="D22" i="13" l="1"/>
  <c r="E21" i="13"/>
  <c r="D23" i="13" l="1"/>
  <c r="E22" i="13"/>
  <c r="D24" i="13" l="1"/>
  <c r="E23" i="13"/>
  <c r="D25" i="13" l="1"/>
  <c r="E24" i="13"/>
  <c r="D26" i="13" l="1"/>
  <c r="E25" i="13"/>
  <c r="D27" i="13" l="1"/>
  <c r="E26" i="13"/>
  <c r="D28" i="13" l="1"/>
  <c r="E27" i="13"/>
  <c r="D29" i="13" l="1"/>
  <c r="E28" i="13"/>
  <c r="D30" i="13" l="1"/>
  <c r="E29" i="13"/>
  <c r="D31" i="13" l="1"/>
  <c r="E30" i="13"/>
  <c r="D32" i="13" l="1"/>
  <c r="E31" i="13"/>
  <c r="D33" i="13" l="1"/>
  <c r="E32" i="13"/>
  <c r="D34" i="13" l="1"/>
  <c r="E33" i="13"/>
  <c r="D35" i="13" l="1"/>
  <c r="E34" i="13"/>
  <c r="D36" i="13" l="1"/>
  <c r="E35" i="13"/>
  <c r="D37" i="13" l="1"/>
  <c r="E36" i="13"/>
  <c r="D38" i="13" l="1"/>
  <c r="E37" i="13"/>
  <c r="D39" i="13" l="1"/>
  <c r="E38" i="13"/>
  <c r="D40" i="13" l="1"/>
  <c r="E39" i="13"/>
  <c r="D41" i="13" l="1"/>
  <c r="E40" i="13"/>
  <c r="D42" i="13" l="1"/>
  <c r="E41" i="13"/>
  <c r="D43" i="13" l="1"/>
  <c r="E42" i="13"/>
  <c r="D44" i="13" l="1"/>
  <c r="E43" i="13"/>
  <c r="D45" i="13" l="1"/>
  <c r="E44" i="13"/>
  <c r="D46" i="13" l="1"/>
  <c r="E45" i="13"/>
  <c r="D47" i="13" l="1"/>
  <c r="E46" i="13"/>
  <c r="D48" i="13" l="1"/>
  <c r="E47" i="13"/>
  <c r="D49" i="13" l="1"/>
  <c r="E48" i="13"/>
  <c r="D50" i="13" l="1"/>
  <c r="E49" i="13"/>
  <c r="D51" i="13" l="1"/>
  <c r="E50" i="13"/>
  <c r="D52" i="13" l="1"/>
  <c r="E51" i="13"/>
  <c r="D53" i="13" l="1"/>
  <c r="E52" i="13"/>
  <c r="D54" i="13" l="1"/>
  <c r="E53" i="13"/>
  <c r="D55" i="13" l="1"/>
  <c r="E54" i="13"/>
  <c r="D56" i="13" l="1"/>
  <c r="E55" i="13"/>
  <c r="D57" i="13" l="1"/>
  <c r="E56" i="13"/>
  <c r="D58" i="13" l="1"/>
  <c r="E57" i="13"/>
  <c r="D59" i="13" l="1"/>
  <c r="E58" i="13"/>
  <c r="D60" i="13" l="1"/>
  <c r="E59" i="13"/>
  <c r="D61" i="13" l="1"/>
  <c r="E60" i="13"/>
  <c r="D62" i="13" l="1"/>
  <c r="E61" i="13"/>
  <c r="D63" i="13" l="1"/>
  <c r="E62" i="13"/>
  <c r="D64" i="13" l="1"/>
  <c r="E63" i="13"/>
  <c r="D65" i="13" l="1"/>
  <c r="E64" i="13"/>
  <c r="D66" i="13" l="1"/>
  <c r="E65" i="13"/>
  <c r="D67" i="13" l="1"/>
  <c r="E66" i="13"/>
  <c r="D68" i="13" l="1"/>
  <c r="E67" i="13"/>
  <c r="D69" i="13" l="1"/>
  <c r="E68" i="13"/>
  <c r="D70" i="13" l="1"/>
  <c r="E69" i="13"/>
  <c r="D71" i="13" l="1"/>
  <c r="E70" i="13"/>
  <c r="D72" i="13" l="1"/>
  <c r="E71" i="13"/>
  <c r="D73" i="13" l="1"/>
  <c r="E72" i="13"/>
  <c r="D74" i="13" l="1"/>
  <c r="E73" i="13"/>
  <c r="D75" i="13" l="1"/>
  <c r="E74" i="13"/>
  <c r="D76" i="13" l="1"/>
  <c r="E75" i="13"/>
  <c r="D77" i="13" l="1"/>
  <c r="E76" i="13"/>
  <c r="D78" i="13" l="1"/>
  <c r="E77" i="13"/>
  <c r="D79" i="13" l="1"/>
  <c r="E78" i="13"/>
  <c r="D80" i="13" l="1"/>
  <c r="E79" i="13"/>
  <c r="D81" i="13" l="1"/>
  <c r="E80" i="13"/>
  <c r="D82" i="13" l="1"/>
  <c r="E81" i="13"/>
  <c r="D83" i="13" l="1"/>
  <c r="E82" i="13"/>
  <c r="D84" i="13" l="1"/>
  <c r="E83" i="13"/>
  <c r="D85" i="13" l="1"/>
  <c r="E84" i="13"/>
  <c r="D86" i="13" l="1"/>
  <c r="E85" i="13"/>
  <c r="D87" i="13" l="1"/>
  <c r="E86" i="13"/>
  <c r="D88" i="13" l="1"/>
  <c r="E87" i="13"/>
  <c r="D89" i="13" l="1"/>
  <c r="E88" i="13"/>
  <c r="D90" i="13" l="1"/>
  <c r="E89" i="13"/>
  <c r="D91" i="13" l="1"/>
  <c r="E90" i="13"/>
  <c r="D92" i="13" l="1"/>
  <c r="E91" i="13"/>
  <c r="D93" i="13" l="1"/>
  <c r="E92" i="13"/>
  <c r="D94" i="13" l="1"/>
  <c r="E93" i="13"/>
  <c r="D95" i="13" l="1"/>
  <c r="E94" i="13"/>
  <c r="D96" i="13" l="1"/>
  <c r="E95" i="13"/>
  <c r="D97" i="13" l="1"/>
  <c r="E96" i="13"/>
  <c r="D98" i="13" l="1"/>
  <c r="E97" i="13"/>
  <c r="D99" i="13" l="1"/>
  <c r="E98" i="13"/>
  <c r="D100" i="13" l="1"/>
  <c r="E99" i="13"/>
  <c r="D101" i="13" l="1"/>
  <c r="E100" i="13"/>
  <c r="D102" i="13" l="1"/>
  <c r="E101" i="13"/>
  <c r="D103" i="13" l="1"/>
  <c r="E102" i="13"/>
  <c r="D104" i="13" l="1"/>
  <c r="E103" i="13"/>
  <c r="D105" i="13" l="1"/>
  <c r="E104" i="13"/>
  <c r="D106" i="13" l="1"/>
  <c r="E105" i="13"/>
  <c r="D107" i="13" l="1"/>
  <c r="E106" i="13"/>
  <c r="D108" i="13" l="1"/>
  <c r="E107" i="13"/>
  <c r="D109" i="13" l="1"/>
  <c r="E108" i="13"/>
  <c r="D110" i="13" l="1"/>
  <c r="E109" i="13"/>
  <c r="D111" i="13" l="1"/>
  <c r="E110" i="13"/>
  <c r="D112" i="13" l="1"/>
  <c r="E111" i="13"/>
  <c r="D113" i="13" l="1"/>
  <c r="E112" i="13"/>
  <c r="D114" i="13" l="1"/>
  <c r="E113" i="13"/>
  <c r="D115" i="13" l="1"/>
  <c r="E114" i="13"/>
  <c r="D116" i="13" l="1"/>
  <c r="E115" i="13"/>
  <c r="D117" i="13" l="1"/>
  <c r="E116" i="13"/>
  <c r="D118" i="13" l="1"/>
  <c r="E117" i="13"/>
  <c r="D119" i="13" l="1"/>
  <c r="E118" i="13"/>
  <c r="D120" i="13" l="1"/>
  <c r="E119" i="13"/>
  <c r="D121" i="13" l="1"/>
  <c r="E120" i="13"/>
  <c r="D122" i="13" l="1"/>
  <c r="E121" i="13"/>
  <c r="D123" i="13" l="1"/>
  <c r="E122" i="13"/>
  <c r="D124" i="13" l="1"/>
  <c r="E123" i="13"/>
  <c r="D125" i="13" l="1"/>
  <c r="E124" i="13"/>
  <c r="D126" i="13" l="1"/>
  <c r="E125" i="13"/>
  <c r="D127" i="13" l="1"/>
  <c r="E126" i="13"/>
  <c r="D128" i="13" l="1"/>
  <c r="E127" i="13"/>
  <c r="D129" i="13" l="1"/>
  <c r="E128" i="13"/>
  <c r="D130" i="13" l="1"/>
  <c r="E129" i="13"/>
  <c r="D131" i="13" l="1"/>
  <c r="E130" i="13"/>
  <c r="D132" i="13" l="1"/>
  <c r="E131" i="13"/>
  <c r="D133" i="13" l="1"/>
  <c r="E132" i="13"/>
  <c r="D134" i="13" l="1"/>
  <c r="E133" i="13"/>
  <c r="D135" i="13" l="1"/>
  <c r="E134" i="13"/>
  <c r="D136" i="13" l="1"/>
  <c r="E135" i="13"/>
  <c r="D137" i="13" l="1"/>
  <c r="E136" i="13"/>
  <c r="D138" i="13" l="1"/>
  <c r="E137" i="13"/>
  <c r="D139" i="13" l="1"/>
  <c r="E138" i="13"/>
  <c r="D140" i="13" l="1"/>
  <c r="E139" i="13"/>
  <c r="D141" i="13" l="1"/>
  <c r="E140" i="13"/>
  <c r="D142" i="13" l="1"/>
  <c r="E141" i="13"/>
  <c r="D143" i="13" l="1"/>
  <c r="E142" i="13"/>
  <c r="D144" i="13" l="1"/>
  <c r="E143" i="13"/>
  <c r="D145" i="13" l="1"/>
  <c r="E144" i="13"/>
  <c r="D146" i="13" l="1"/>
  <c r="E145" i="13"/>
  <c r="D147" i="13" l="1"/>
  <c r="E146" i="13"/>
  <c r="D148" i="13" l="1"/>
  <c r="E147" i="13"/>
  <c r="D149" i="13" l="1"/>
  <c r="E148" i="13"/>
  <c r="D150" i="13" l="1"/>
  <c r="E149" i="13"/>
  <c r="D151" i="13" l="1"/>
  <c r="E150" i="13"/>
  <c r="D152" i="13" l="1"/>
  <c r="E151" i="13"/>
  <c r="D153" i="13" l="1"/>
  <c r="E152" i="13"/>
  <c r="D154" i="13" l="1"/>
  <c r="E153" i="13"/>
  <c r="D155" i="13" l="1"/>
  <c r="E154" i="13"/>
  <c r="D156" i="13" l="1"/>
  <c r="E155" i="13"/>
  <c r="D157" i="13" l="1"/>
  <c r="E156" i="13"/>
  <c r="D158" i="13" l="1"/>
  <c r="E157" i="13"/>
  <c r="D159" i="13" l="1"/>
  <c r="E158" i="13"/>
  <c r="D160" i="13" l="1"/>
  <c r="E159" i="13"/>
  <c r="D161" i="13" l="1"/>
  <c r="E160" i="13"/>
  <c r="D162" i="13" l="1"/>
  <c r="E161" i="13"/>
  <c r="D163" i="13" l="1"/>
  <c r="E162" i="13"/>
  <c r="D164" i="13" l="1"/>
  <c r="E163" i="13"/>
  <c r="D165" i="13" l="1"/>
  <c r="E164" i="13"/>
  <c r="D166" i="13" l="1"/>
  <c r="E165" i="13"/>
  <c r="D167" i="13" l="1"/>
  <c r="E166" i="13"/>
  <c r="D168" i="13" l="1"/>
  <c r="E167" i="13"/>
  <c r="D169" i="13" l="1"/>
  <c r="E168" i="13"/>
  <c r="D170" i="13" l="1"/>
  <c r="E169" i="13"/>
  <c r="D171" i="13" l="1"/>
  <c r="E170" i="13"/>
  <c r="D172" i="13" l="1"/>
  <c r="E171" i="13"/>
  <c r="D173" i="13" l="1"/>
  <c r="E172" i="13"/>
  <c r="D174" i="13" l="1"/>
  <c r="E173" i="13"/>
  <c r="D175" i="13" l="1"/>
  <c r="E174" i="13"/>
  <c r="D176" i="13" l="1"/>
  <c r="E175" i="13"/>
  <c r="D177" i="13" l="1"/>
  <c r="E176" i="13"/>
  <c r="D178" i="13" l="1"/>
  <c r="E177" i="13"/>
  <c r="D179" i="13" l="1"/>
  <c r="E178" i="13"/>
  <c r="D180" i="13" l="1"/>
  <c r="E179" i="13"/>
  <c r="D181" i="13" l="1"/>
  <c r="E180" i="13"/>
  <c r="D182" i="13" l="1"/>
  <c r="E181" i="13"/>
  <c r="D183" i="13" l="1"/>
  <c r="E182" i="13"/>
  <c r="D184" i="13" l="1"/>
  <c r="E183" i="13"/>
  <c r="D185" i="13" l="1"/>
  <c r="E184" i="13"/>
  <c r="D186" i="13" l="1"/>
  <c r="E185" i="13"/>
  <c r="D187" i="13" l="1"/>
  <c r="E186" i="13"/>
  <c r="D188" i="13" l="1"/>
  <c r="E187" i="13"/>
  <c r="D189" i="13" l="1"/>
  <c r="E188" i="13"/>
  <c r="D190" i="13" l="1"/>
  <c r="E189" i="13"/>
  <c r="D191" i="13" l="1"/>
  <c r="E190" i="13"/>
  <c r="D192" i="13" l="1"/>
  <c r="E191" i="13"/>
  <c r="D193" i="13" l="1"/>
  <c r="E192" i="13"/>
  <c r="D194" i="13" l="1"/>
  <c r="E193" i="13"/>
  <c r="D195" i="13" l="1"/>
  <c r="E194" i="13"/>
  <c r="D196" i="13" l="1"/>
  <c r="E195" i="13"/>
  <c r="D197" i="13" l="1"/>
  <c r="E196" i="13"/>
  <c r="D198" i="13" l="1"/>
  <c r="E197" i="13"/>
  <c r="D199" i="13" l="1"/>
  <c r="E198" i="13"/>
  <c r="D200" i="13" l="1"/>
  <c r="E199" i="13"/>
  <c r="D201" i="13" l="1"/>
  <c r="E200" i="13"/>
  <c r="D202" i="13" l="1"/>
  <c r="E201" i="13"/>
  <c r="D203" i="13" l="1"/>
  <c r="E202" i="13"/>
  <c r="D204" i="13" l="1"/>
  <c r="E203" i="13"/>
  <c r="D205" i="13" l="1"/>
  <c r="E204" i="13"/>
  <c r="D206" i="13" l="1"/>
  <c r="E205" i="13"/>
  <c r="D207" i="13" l="1"/>
  <c r="E206" i="13"/>
  <c r="D208" i="13" l="1"/>
  <c r="E207" i="13"/>
  <c r="D209" i="13" l="1"/>
  <c r="E208" i="13"/>
  <c r="D210" i="13" l="1"/>
  <c r="E209" i="13"/>
  <c r="D211" i="13" l="1"/>
  <c r="E210" i="13"/>
  <c r="D212" i="13" l="1"/>
  <c r="E211" i="13"/>
  <c r="D213" i="13" l="1"/>
  <c r="E212" i="13"/>
  <c r="D214" i="13" l="1"/>
  <c r="E213" i="13"/>
  <c r="D215" i="13" l="1"/>
  <c r="E214" i="13"/>
  <c r="D216" i="13" l="1"/>
  <c r="E215" i="13"/>
  <c r="D217" i="13" l="1"/>
  <c r="E216" i="13"/>
  <c r="D218" i="13" l="1"/>
  <c r="E217" i="13"/>
  <c r="D219" i="13" l="1"/>
  <c r="E218" i="13"/>
  <c r="D220" i="13" l="1"/>
  <c r="E219" i="13"/>
  <c r="D221" i="13" l="1"/>
  <c r="E220" i="13"/>
  <c r="D222" i="13" l="1"/>
  <c r="E221" i="13"/>
  <c r="D223" i="13" l="1"/>
  <c r="E222" i="13"/>
  <c r="D224" i="13" l="1"/>
  <c r="E223" i="13"/>
  <c r="D225" i="13" l="1"/>
  <c r="E224" i="13"/>
  <c r="D226" i="13" l="1"/>
  <c r="E225" i="13"/>
  <c r="D227" i="13" l="1"/>
  <c r="E226" i="13"/>
  <c r="D228" i="13" l="1"/>
  <c r="E227" i="13"/>
  <c r="D229" i="13" l="1"/>
  <c r="E228" i="13"/>
  <c r="D230" i="13" l="1"/>
  <c r="E229" i="13"/>
  <c r="D231" i="13" l="1"/>
  <c r="E230" i="13"/>
  <c r="D232" i="13" l="1"/>
  <c r="E231" i="13"/>
  <c r="D233" i="13" l="1"/>
  <c r="E232" i="13"/>
  <c r="D234" i="13" l="1"/>
  <c r="E233" i="13"/>
  <c r="D235" i="13" l="1"/>
  <c r="E234" i="13"/>
  <c r="D236" i="13" l="1"/>
  <c r="E235" i="13"/>
  <c r="D237" i="13" l="1"/>
  <c r="E236" i="13"/>
  <c r="D238" i="13" l="1"/>
  <c r="E237" i="13"/>
  <c r="D239" i="13" l="1"/>
  <c r="E238" i="13"/>
  <c r="D240" i="13" l="1"/>
  <c r="E239" i="13"/>
  <c r="D241" i="13" l="1"/>
  <c r="E240" i="13"/>
  <c r="D242" i="13" l="1"/>
  <c r="E241" i="13"/>
  <c r="D243" i="13" l="1"/>
  <c r="E242" i="13"/>
  <c r="D244" i="13" l="1"/>
  <c r="E243" i="13"/>
  <c r="D245" i="13" l="1"/>
  <c r="E244" i="13"/>
  <c r="D246" i="13" l="1"/>
  <c r="E245" i="13"/>
  <c r="D247" i="13" l="1"/>
  <c r="E246" i="13"/>
  <c r="D248" i="13" l="1"/>
  <c r="E247" i="13"/>
  <c r="D249" i="13" l="1"/>
  <c r="E248" i="13"/>
  <c r="D250" i="13" l="1"/>
  <c r="E249" i="13"/>
  <c r="D251" i="13" l="1"/>
  <c r="E250" i="13"/>
  <c r="D252" i="13" l="1"/>
  <c r="E251" i="13"/>
  <c r="D253" i="13" l="1"/>
  <c r="E252" i="13"/>
  <c r="D254" i="13" l="1"/>
  <c r="E253" i="13"/>
  <c r="D255" i="13" l="1"/>
  <c r="E254" i="13"/>
  <c r="D256" i="13" l="1"/>
  <c r="E255" i="13"/>
  <c r="D257" i="13" l="1"/>
  <c r="E256" i="13"/>
  <c r="E257" i="13" l="1"/>
  <c r="D258" i="13"/>
  <c r="E258" i="13" l="1"/>
  <c r="D259" i="13"/>
  <c r="E259" i="13" l="1"/>
  <c r="D260" i="13"/>
  <c r="E260" i="13" l="1"/>
  <c r="D261" i="13"/>
  <c r="E261" i="13" l="1"/>
  <c r="D262" i="13"/>
  <c r="E262" i="13" l="1"/>
  <c r="D263" i="13"/>
  <c r="E263" i="13" l="1"/>
  <c r="D264" i="13"/>
  <c r="E264" i="13" l="1"/>
  <c r="D265" i="13"/>
  <c r="E265" i="13" l="1"/>
  <c r="D266" i="13"/>
  <c r="E266" i="13" l="1"/>
  <c r="D267" i="13"/>
  <c r="E267" i="13" l="1"/>
  <c r="D268" i="13"/>
  <c r="E268" i="13" l="1"/>
  <c r="D269" i="13"/>
  <c r="E269" i="13" l="1"/>
  <c r="D270" i="13"/>
  <c r="E270" i="13" l="1"/>
  <c r="D271" i="13"/>
  <c r="E271" i="13" l="1"/>
  <c r="D272" i="13"/>
  <c r="E272" i="13" l="1"/>
  <c r="D273" i="13"/>
  <c r="E273" i="13" l="1"/>
  <c r="D274" i="13"/>
  <c r="E274" i="13" l="1"/>
  <c r="D275" i="13"/>
  <c r="E275" i="13" l="1"/>
  <c r="D276" i="13"/>
  <c r="E276" i="13" l="1"/>
  <c r="D277" i="13"/>
  <c r="E277" i="13" l="1"/>
  <c r="D278" i="13"/>
  <c r="E278" i="13" l="1"/>
  <c r="D279" i="13"/>
  <c r="E279" i="13" l="1"/>
  <c r="D280" i="13"/>
  <c r="E280" i="13" l="1"/>
  <c r="D281" i="13"/>
  <c r="E281" i="13" l="1"/>
  <c r="D282" i="13"/>
  <c r="E282" i="13" l="1"/>
  <c r="D283" i="13"/>
  <c r="E283" i="13" l="1"/>
  <c r="D284" i="13"/>
  <c r="E284" i="13" l="1"/>
  <c r="D285" i="13"/>
  <c r="E285" i="13" l="1"/>
  <c r="D286" i="13"/>
  <c r="E286" i="13" l="1"/>
  <c r="D287" i="13"/>
  <c r="E287" i="13" l="1"/>
  <c r="D288" i="13"/>
  <c r="E288" i="13" l="1"/>
  <c r="D289" i="13"/>
  <c r="E289" i="13" l="1"/>
  <c r="D290" i="13"/>
  <c r="E290" i="13" l="1"/>
  <c r="D291" i="13"/>
  <c r="E291" i="13" l="1"/>
  <c r="D292" i="13"/>
  <c r="E292" i="13" l="1"/>
  <c r="D293" i="13"/>
  <c r="E293" i="13" l="1"/>
  <c r="D294" i="13"/>
  <c r="E294" i="13" l="1"/>
  <c r="D295" i="13"/>
  <c r="E295" i="13" l="1"/>
  <c r="D296" i="13"/>
  <c r="E296" i="13" l="1"/>
  <c r="D297" i="13"/>
  <c r="E297" i="13" l="1"/>
  <c r="D298" i="13"/>
  <c r="E298" i="13" l="1"/>
  <c r="D299" i="13"/>
  <c r="E299" i="13" l="1"/>
  <c r="D300" i="13"/>
  <c r="E300" i="13" l="1"/>
  <c r="D301" i="13"/>
  <c r="E301" i="13" l="1"/>
  <c r="D302" i="13"/>
  <c r="E302" i="13" l="1"/>
  <c r="D303" i="13"/>
  <c r="E303" i="13" l="1"/>
  <c r="D304" i="13"/>
  <c r="E304" i="13" l="1"/>
  <c r="D305" i="13"/>
  <c r="E305" i="13" l="1"/>
  <c r="D306" i="13"/>
  <c r="E306" i="13" l="1"/>
  <c r="D307" i="13"/>
  <c r="E307" i="13" l="1"/>
  <c r="D308" i="13"/>
  <c r="E308" i="13" l="1"/>
  <c r="D309" i="13"/>
  <c r="E309" i="13" l="1"/>
  <c r="D310" i="13"/>
  <c r="E310" i="13" l="1"/>
  <c r="D311" i="13"/>
  <c r="E311" i="13" l="1"/>
  <c r="D312" i="13"/>
  <c r="E312" i="13" l="1"/>
  <c r="D313" i="13"/>
  <c r="E313" i="13" l="1"/>
  <c r="D314" i="13"/>
  <c r="E314" i="13" l="1"/>
  <c r="D315" i="13"/>
  <c r="E315" i="13" l="1"/>
  <c r="D316" i="13"/>
  <c r="E316" i="13" l="1"/>
  <c r="D317" i="13"/>
  <c r="E317" i="13" l="1"/>
  <c r="D318" i="13"/>
  <c r="E318" i="13" l="1"/>
  <c r="D319" i="13"/>
  <c r="E319" i="13" l="1"/>
  <c r="D320" i="13"/>
  <c r="E320" i="13" l="1"/>
  <c r="D321" i="13"/>
  <c r="E321" i="13" l="1"/>
  <c r="D322" i="13"/>
  <c r="E322" i="13" l="1"/>
  <c r="D323" i="13"/>
  <c r="E323" i="13" l="1"/>
  <c r="D324" i="13"/>
  <c r="E324" i="13" l="1"/>
  <c r="D325" i="13"/>
  <c r="E325" i="13" l="1"/>
  <c r="D326" i="13"/>
  <c r="E326" i="13" l="1"/>
  <c r="D327" i="13"/>
  <c r="E327" i="13" l="1"/>
  <c r="D328" i="13"/>
  <c r="E328" i="13" l="1"/>
  <c r="D329" i="13"/>
  <c r="E329" i="13" l="1"/>
  <c r="D330" i="13"/>
  <c r="E330" i="13" l="1"/>
  <c r="D331" i="13"/>
  <c r="E331" i="13" l="1"/>
  <c r="D332" i="13"/>
  <c r="E332" i="13" l="1"/>
  <c r="D333" i="13"/>
  <c r="E333" i="13" l="1"/>
  <c r="D334" i="13"/>
  <c r="E334" i="13" l="1"/>
  <c r="D335" i="13"/>
  <c r="E335" i="13" l="1"/>
  <c r="D336" i="13"/>
  <c r="E336" i="13" l="1"/>
  <c r="D337" i="13"/>
  <c r="E337" i="13" l="1"/>
  <c r="D338" i="13"/>
  <c r="E338" i="13" l="1"/>
  <c r="D339" i="13"/>
  <c r="E339" i="13" l="1"/>
  <c r="D340" i="13"/>
  <c r="E340" i="13" l="1"/>
  <c r="D341" i="13"/>
  <c r="E341" i="13" l="1"/>
  <c r="D342" i="13"/>
  <c r="E342" i="13" l="1"/>
  <c r="D343" i="13"/>
  <c r="E343" i="13" l="1"/>
  <c r="D344" i="13"/>
  <c r="E344" i="13" l="1"/>
  <c r="D345" i="13"/>
  <c r="E345" i="13" l="1"/>
  <c r="D346" i="13"/>
  <c r="E346" i="13" l="1"/>
  <c r="D347" i="13"/>
  <c r="E347" i="13" l="1"/>
  <c r="D348" i="13"/>
  <c r="E348" i="13" l="1"/>
  <c r="D349" i="13"/>
  <c r="E349" i="13" l="1"/>
  <c r="D350" i="13"/>
  <c r="E350" i="13" l="1"/>
  <c r="D351" i="13"/>
  <c r="E351" i="13" l="1"/>
  <c r="D352" i="13"/>
  <c r="E352" i="13" l="1"/>
  <c r="D353" i="13"/>
  <c r="E353" i="13" l="1"/>
  <c r="D354" i="13"/>
  <c r="E354" i="13" l="1"/>
  <c r="D355" i="13"/>
  <c r="E355" i="13" l="1"/>
  <c r="D356" i="13"/>
  <c r="E356" i="13" l="1"/>
  <c r="D357" i="13"/>
  <c r="E357" i="13" l="1"/>
  <c r="D358" i="13"/>
  <c r="E358" i="13" l="1"/>
  <c r="D359" i="13"/>
  <c r="E359" i="13" l="1"/>
  <c r="D360" i="13"/>
  <c r="E360" i="13" l="1"/>
  <c r="D361" i="13"/>
  <c r="E361" i="13" l="1"/>
  <c r="D362" i="13"/>
  <c r="E362" i="13" l="1"/>
  <c r="D363" i="13"/>
  <c r="E363" i="13" l="1"/>
  <c r="D364" i="13"/>
  <c r="E364" i="13" l="1"/>
  <c r="D365" i="13"/>
  <c r="E365" i="13" l="1"/>
  <c r="D366" i="13"/>
  <c r="E366" i="13" l="1"/>
  <c r="D367" i="13"/>
  <c r="E367" i="13" l="1"/>
  <c r="D368" i="13"/>
  <c r="E368" i="13" l="1"/>
  <c r="D369" i="13"/>
  <c r="E369" i="13" l="1"/>
  <c r="D370" i="13"/>
  <c r="E370" i="13" l="1"/>
  <c r="D371" i="13"/>
  <c r="E371" i="13" l="1"/>
  <c r="D372" i="13"/>
  <c r="E372" i="13" l="1"/>
  <c r="D373" i="13"/>
  <c r="E373" i="13" l="1"/>
  <c r="D374" i="13"/>
  <c r="E374" i="13" l="1"/>
  <c r="D375" i="13"/>
  <c r="E375" i="13" l="1"/>
  <c r="D376" i="13"/>
  <c r="E376" i="13" l="1"/>
  <c r="D377" i="13"/>
  <c r="E377" i="13" l="1"/>
  <c r="D378" i="13"/>
  <c r="E378" i="13" l="1"/>
  <c r="D379" i="13"/>
  <c r="E379" i="13" l="1"/>
  <c r="D380" i="13"/>
  <c r="E380" i="13" l="1"/>
  <c r="D381" i="13"/>
  <c r="E381" i="13" l="1"/>
  <c r="D382" i="13"/>
  <c r="E382" i="13" l="1"/>
  <c r="D383" i="13"/>
  <c r="E383" i="13" l="1"/>
  <c r="D384" i="13"/>
  <c r="E384" i="13" l="1"/>
  <c r="D385" i="13"/>
  <c r="E385" i="13" l="1"/>
  <c r="D386" i="13"/>
  <c r="E386" i="13" l="1"/>
  <c r="D387" i="13"/>
  <c r="E387" i="13" l="1"/>
  <c r="D388" i="13"/>
  <c r="E388" i="13" l="1"/>
  <c r="D389" i="13"/>
  <c r="E389" i="13" l="1"/>
  <c r="D390" i="13"/>
  <c r="E390" i="13" l="1"/>
  <c r="D391" i="13"/>
  <c r="E391" i="13" l="1"/>
  <c r="D392" i="13"/>
  <c r="E392" i="13" l="1"/>
  <c r="D393" i="13"/>
  <c r="E393" i="13" l="1"/>
  <c r="D394" i="13"/>
  <c r="E394" i="13" l="1"/>
  <c r="D395" i="13"/>
  <c r="E395" i="13" l="1"/>
  <c r="D396" i="13"/>
  <c r="E396" i="13" l="1"/>
  <c r="D397" i="13"/>
  <c r="E397" i="13" l="1"/>
  <c r="D398" i="13"/>
  <c r="E398" i="13" l="1"/>
  <c r="D399" i="13"/>
  <c r="E399" i="13" l="1"/>
  <c r="D400" i="13"/>
  <c r="E400" i="13" l="1"/>
  <c r="D401" i="13"/>
  <c r="E401" i="13" l="1"/>
  <c r="D402" i="13"/>
  <c r="E402" i="13" l="1"/>
  <c r="D403" i="13"/>
  <c r="E403" i="13" l="1"/>
  <c r="D404" i="13"/>
  <c r="E404" i="13" l="1"/>
  <c r="D405" i="13"/>
  <c r="E405" i="13" l="1"/>
  <c r="D406" i="13"/>
  <c r="E406" i="13" l="1"/>
  <c r="D407" i="13"/>
  <c r="E407" i="13" l="1"/>
  <c r="D408" i="13"/>
  <c r="E408" i="13" l="1"/>
  <c r="D409" i="13"/>
  <c r="E409" i="13" l="1"/>
  <c r="D410" i="13"/>
  <c r="E410" i="13" l="1"/>
  <c r="D411" i="13"/>
  <c r="E411" i="13" l="1"/>
  <c r="D412" i="13"/>
  <c r="E412" i="13" l="1"/>
  <c r="D413" i="13"/>
  <c r="E413" i="13" l="1"/>
  <c r="D414" i="13"/>
  <c r="E414" i="13" l="1"/>
  <c r="D415" i="13"/>
  <c r="E415" i="13" l="1"/>
  <c r="D416" i="13"/>
  <c r="E416" i="13" l="1"/>
  <c r="D417" i="13"/>
  <c r="E417" i="13" l="1"/>
  <c r="D418" i="13"/>
  <c r="E418" i="13" l="1"/>
  <c r="D419" i="13"/>
  <c r="E419" i="13" l="1"/>
  <c r="D420" i="13"/>
  <c r="E420" i="13" l="1"/>
  <c r="D421" i="13"/>
  <c r="E421" i="13" l="1"/>
  <c r="D422" i="13"/>
  <c r="E422" i="13" l="1"/>
  <c r="D423" i="13"/>
  <c r="E423" i="13" l="1"/>
  <c r="D424" i="13"/>
  <c r="E424" i="13" l="1"/>
  <c r="D425" i="13"/>
  <c r="E425" i="13" l="1"/>
  <c r="D426" i="13"/>
  <c r="E426" i="13" l="1"/>
  <c r="D427" i="13"/>
  <c r="E427" i="13" l="1"/>
  <c r="D428" i="13"/>
  <c r="E428" i="13" l="1"/>
  <c r="D429" i="13"/>
  <c r="E429" i="13" l="1"/>
  <c r="D430" i="13"/>
  <c r="E430" i="13" l="1"/>
  <c r="D431" i="13"/>
  <c r="E431" i="13" l="1"/>
  <c r="D432" i="13"/>
  <c r="E432" i="13" l="1"/>
  <c r="D433" i="13"/>
  <c r="E433" i="13" l="1"/>
  <c r="D434" i="13"/>
  <c r="E434" i="13" l="1"/>
  <c r="D435" i="13"/>
  <c r="E435" i="13" l="1"/>
  <c r="D436" i="13"/>
  <c r="E436" i="13" l="1"/>
  <c r="D437" i="13"/>
  <c r="E437" i="13" l="1"/>
  <c r="D438" i="13"/>
  <c r="E438" i="13" l="1"/>
  <c r="D439" i="13"/>
  <c r="E439" i="13" l="1"/>
  <c r="D440" i="13"/>
  <c r="E440" i="13" l="1"/>
  <c r="D441" i="13"/>
  <c r="E441" i="13" l="1"/>
  <c r="D442" i="13"/>
  <c r="E442" i="13" l="1"/>
  <c r="D443" i="13"/>
  <c r="E443" i="13" l="1"/>
  <c r="D444" i="13"/>
  <c r="E444" i="13" l="1"/>
  <c r="D445" i="13"/>
  <c r="E445" i="13" l="1"/>
  <c r="D446" i="13"/>
  <c r="E446" i="13" l="1"/>
  <c r="D447" i="13"/>
  <c r="E447" i="13" l="1"/>
  <c r="D448" i="13"/>
  <c r="E448" i="13" l="1"/>
  <c r="D449" i="13"/>
  <c r="E449" i="13" l="1"/>
  <c r="D450" i="13"/>
  <c r="E450" i="13" l="1"/>
  <c r="D451" i="13"/>
  <c r="E451" i="13" l="1"/>
  <c r="D452" i="13"/>
  <c r="E452" i="13" l="1"/>
  <c r="D453" i="13"/>
  <c r="E453" i="13" l="1"/>
  <c r="D454" i="13"/>
  <c r="E454" i="13" l="1"/>
  <c r="D455" i="13"/>
  <c r="E455" i="13" l="1"/>
  <c r="D456" i="13"/>
  <c r="E456" i="13" l="1"/>
  <c r="D457" i="13"/>
  <c r="E457" i="13" l="1"/>
  <c r="D458" i="13"/>
  <c r="E458" i="13" l="1"/>
  <c r="D459" i="13"/>
  <c r="E459" i="13" l="1"/>
  <c r="D460" i="13"/>
  <c r="E460" i="13" l="1"/>
  <c r="D461" i="13"/>
  <c r="E461" i="13" l="1"/>
  <c r="D462" i="13"/>
  <c r="E462" i="13" l="1"/>
  <c r="D463" i="13"/>
  <c r="E463" i="13" l="1"/>
  <c r="D464" i="13"/>
  <c r="E464" i="13" l="1"/>
  <c r="D465" i="13"/>
  <c r="E465" i="13" l="1"/>
  <c r="D466" i="13"/>
  <c r="E466" i="13" l="1"/>
  <c r="D467" i="13"/>
  <c r="E467" i="13" l="1"/>
  <c r="D468" i="13"/>
  <c r="E468" i="13" l="1"/>
  <c r="D469" i="13"/>
  <c r="E469" i="13" l="1"/>
  <c r="D470" i="13"/>
  <c r="E470" i="13" l="1"/>
  <c r="D471" i="13"/>
  <c r="E471" i="13" l="1"/>
  <c r="D472" i="13"/>
  <c r="E472" i="13" l="1"/>
  <c r="D473" i="13"/>
  <c r="E473" i="13" l="1"/>
  <c r="D474" i="13"/>
  <c r="E474" i="13" l="1"/>
  <c r="D475" i="13"/>
  <c r="E475" i="13" l="1"/>
  <c r="D476" i="13"/>
  <c r="E476" i="13" l="1"/>
  <c r="D477" i="13"/>
  <c r="E477" i="13" l="1"/>
  <c r="D478" i="13"/>
  <c r="E478" i="13" l="1"/>
  <c r="D479" i="13"/>
  <c r="E479" i="13" l="1"/>
  <c r="D480" i="13"/>
  <c r="E480" i="13" l="1"/>
  <c r="D481" i="13"/>
  <c r="E481" i="13" l="1"/>
  <c r="D482" i="13"/>
  <c r="E482" i="13" l="1"/>
  <c r="D483" i="13"/>
  <c r="E483" i="13" l="1"/>
  <c r="D484" i="13"/>
  <c r="E484" i="13" l="1"/>
  <c r="D485" i="13"/>
  <c r="E485" i="13" l="1"/>
  <c r="D486" i="13"/>
  <c r="E486" i="13" l="1"/>
  <c r="D487" i="13"/>
  <c r="E487" i="13" l="1"/>
  <c r="D488" i="13"/>
  <c r="E488" i="13" l="1"/>
  <c r="D489" i="13"/>
  <c r="E489" i="13" l="1"/>
  <c r="D490" i="13"/>
  <c r="E490" i="13" l="1"/>
  <c r="D491" i="13"/>
  <c r="E491" i="13" l="1"/>
  <c r="D492" i="13"/>
  <c r="E492" i="13" l="1"/>
  <c r="D493" i="13"/>
  <c r="E493" i="13" l="1"/>
  <c r="D494" i="13"/>
  <c r="E494" i="13" l="1"/>
  <c r="D495" i="13"/>
  <c r="E495" i="13" l="1"/>
  <c r="D496" i="13"/>
  <c r="E496" i="13" l="1"/>
  <c r="D497" i="13"/>
  <c r="E497" i="13" l="1"/>
  <c r="D498" i="13"/>
  <c r="E498" i="13" l="1"/>
  <c r="D499" i="13"/>
  <c r="E499" i="13" l="1"/>
  <c r="D500" i="13"/>
  <c r="E500" i="13" l="1"/>
  <c r="D501" i="13"/>
  <c r="E501" i="13" l="1"/>
  <c r="D502" i="13"/>
  <c r="E502" i="13" l="1"/>
  <c r="D503" i="13"/>
  <c r="E503" i="13" l="1"/>
  <c r="D504" i="13"/>
  <c r="E504" i="13" l="1"/>
  <c r="D505" i="13"/>
  <c r="E505" i="13" l="1"/>
  <c r="D506" i="13"/>
  <c r="E506" i="13" l="1"/>
  <c r="D507" i="13"/>
  <c r="E507" i="13" l="1"/>
  <c r="D508" i="13"/>
  <c r="E508" i="13" l="1"/>
  <c r="D509" i="13"/>
  <c r="E509" i="13" l="1"/>
  <c r="D510" i="13"/>
  <c r="E510" i="13" l="1"/>
  <c r="D511" i="13"/>
  <c r="E511" i="13" l="1"/>
  <c r="D512" i="13"/>
  <c r="E512" i="13" l="1"/>
  <c r="D513" i="13"/>
  <c r="E513" i="13" l="1"/>
  <c r="D514" i="13"/>
  <c r="E514" i="13" l="1"/>
  <c r="D515" i="13"/>
  <c r="E515" i="13" l="1"/>
  <c r="D516" i="13"/>
  <c r="E516" i="13" l="1"/>
  <c r="D517" i="13"/>
  <c r="E517" i="13" l="1"/>
  <c r="D518" i="13"/>
  <c r="E518" i="13" l="1"/>
  <c r="D519" i="13"/>
  <c r="E519" i="13" l="1"/>
  <c r="D520" i="13"/>
  <c r="E520" i="13" l="1"/>
  <c r="D521" i="13"/>
  <c r="E521" i="13" l="1"/>
  <c r="D522" i="13"/>
  <c r="E522" i="13" l="1"/>
  <c r="D523" i="13"/>
  <c r="E523" i="13" l="1"/>
  <c r="D524" i="13"/>
  <c r="E524" i="13" l="1"/>
  <c r="D525" i="13"/>
  <c r="E525" i="13" l="1"/>
  <c r="D526" i="13"/>
  <c r="E526" i="13" l="1"/>
  <c r="D527" i="13"/>
  <c r="E527" i="13" l="1"/>
  <c r="D528" i="13"/>
  <c r="E528" i="13" l="1"/>
  <c r="D529" i="13"/>
  <c r="E529" i="13" l="1"/>
  <c r="D530" i="13"/>
  <c r="E530" i="13" l="1"/>
  <c r="D531" i="13"/>
  <c r="E531" i="13" l="1"/>
  <c r="D532" i="13"/>
  <c r="E532" i="13" l="1"/>
  <c r="D533" i="13"/>
  <c r="E533" i="13" l="1"/>
  <c r="D534" i="13"/>
  <c r="E534" i="13" l="1"/>
  <c r="D535" i="13"/>
  <c r="E535" i="13" l="1"/>
  <c r="D536" i="13"/>
  <c r="E536" i="13" l="1"/>
  <c r="D537" i="13"/>
  <c r="E537" i="13" l="1"/>
  <c r="D538" i="13"/>
  <c r="E538" i="13" l="1"/>
  <c r="D539" i="13"/>
  <c r="E539" i="13" l="1"/>
  <c r="D540" i="13"/>
  <c r="E540" i="13" l="1"/>
  <c r="D541" i="13"/>
  <c r="E541" i="13" l="1"/>
  <c r="D542" i="13"/>
  <c r="E542" i="13" l="1"/>
  <c r="D543" i="13"/>
  <c r="E543" i="13" l="1"/>
  <c r="D544" i="13"/>
  <c r="E544" i="13" l="1"/>
  <c r="D545" i="13"/>
  <c r="E545" i="13" l="1"/>
  <c r="D546" i="13"/>
  <c r="E546" i="13" l="1"/>
  <c r="D547" i="13"/>
  <c r="E547" i="13" l="1"/>
  <c r="D548" i="13"/>
  <c r="E548" i="13" l="1"/>
  <c r="D549" i="13"/>
  <c r="E549" i="13" l="1"/>
  <c r="D550" i="13"/>
  <c r="E550" i="13" l="1"/>
  <c r="D551" i="13"/>
  <c r="E551" i="13" l="1"/>
  <c r="D552" i="13"/>
  <c r="E552" i="13" l="1"/>
  <c r="D553" i="13"/>
  <c r="E553" i="13" l="1"/>
  <c r="D554" i="13"/>
  <c r="E554" i="13" l="1"/>
  <c r="D555" i="13"/>
  <c r="E555" i="13" l="1"/>
  <c r="D556" i="13"/>
  <c r="E556" i="13" l="1"/>
  <c r="D557" i="13"/>
  <c r="E557" i="13" l="1"/>
  <c r="D558" i="13"/>
  <c r="E558" i="13" l="1"/>
  <c r="D559" i="13"/>
  <c r="E559" i="13" l="1"/>
  <c r="D560" i="13"/>
  <c r="E560" i="13" l="1"/>
  <c r="D561" i="13"/>
  <c r="E561" i="13" l="1"/>
  <c r="D562" i="13"/>
  <c r="E562" i="13" l="1"/>
  <c r="D563" i="13"/>
  <c r="E563" i="13" l="1"/>
  <c r="D564" i="13"/>
  <c r="E564" i="13" l="1"/>
  <c r="D565" i="13"/>
  <c r="E565" i="13" l="1"/>
  <c r="D566" i="13"/>
  <c r="E566" i="13" l="1"/>
  <c r="D567" i="13"/>
  <c r="E567" i="13" l="1"/>
  <c r="D568" i="13"/>
  <c r="E568" i="13" l="1"/>
  <c r="D569" i="13"/>
  <c r="E569" i="13" l="1"/>
  <c r="D570" i="13"/>
  <c r="E570" i="13" l="1"/>
  <c r="D571" i="13"/>
  <c r="E571" i="13" l="1"/>
  <c r="D572" i="13"/>
  <c r="E572" i="13" l="1"/>
  <c r="D573" i="13"/>
  <c r="E573" i="13" l="1"/>
  <c r="D574" i="13"/>
  <c r="E574" i="13" l="1"/>
  <c r="D575" i="13"/>
  <c r="E575" i="13" l="1"/>
  <c r="D576" i="13"/>
  <c r="E576" i="13" l="1"/>
  <c r="D577" i="13"/>
  <c r="E577" i="13" l="1"/>
  <c r="D578" i="13"/>
  <c r="E578" i="13" l="1"/>
  <c r="D579" i="13"/>
  <c r="E579" i="13" l="1"/>
  <c r="D580" i="13"/>
  <c r="E580" i="13" l="1"/>
  <c r="D581" i="13"/>
  <c r="E581" i="13" l="1"/>
  <c r="D582" i="13"/>
  <c r="E582" i="13" l="1"/>
  <c r="D583" i="13"/>
  <c r="E583" i="13" l="1"/>
  <c r="D584" i="13"/>
  <c r="E584" i="13" l="1"/>
  <c r="D585" i="13"/>
  <c r="E585" i="13" l="1"/>
  <c r="D586" i="13"/>
  <c r="E586" i="13" l="1"/>
  <c r="D587" i="13"/>
  <c r="E587" i="13" l="1"/>
  <c r="D588" i="13"/>
  <c r="E588" i="13" l="1"/>
  <c r="D589" i="13"/>
  <c r="E589" i="13" l="1"/>
  <c r="D590" i="13"/>
  <c r="E590" i="13" l="1"/>
  <c r="D591" i="13"/>
  <c r="E591" i="13" l="1"/>
  <c r="D592" i="13"/>
  <c r="E592" i="13" l="1"/>
  <c r="D593" i="13"/>
  <c r="E593" i="13" l="1"/>
  <c r="D594" i="13"/>
  <c r="E594" i="13" l="1"/>
  <c r="D595" i="13"/>
  <c r="E595" i="13" l="1"/>
  <c r="D596" i="13"/>
  <c r="E596" i="13" l="1"/>
  <c r="D597" i="13"/>
  <c r="E597" i="13" l="1"/>
  <c r="D598" i="13"/>
  <c r="E598" i="13" l="1"/>
  <c r="D599" i="13"/>
  <c r="E599" i="13" l="1"/>
  <c r="D600" i="13"/>
  <c r="E600" i="13" l="1"/>
  <c r="D601" i="13"/>
  <c r="E601" i="13" l="1"/>
  <c r="D602" i="13"/>
  <c r="E602" i="13" l="1"/>
  <c r="D603" i="13"/>
  <c r="E603" i="13" l="1"/>
  <c r="D604" i="13"/>
  <c r="E604" i="13" l="1"/>
  <c r="D605" i="13"/>
  <c r="E605" i="13" l="1"/>
  <c r="D606" i="13"/>
  <c r="E606" i="13" l="1"/>
  <c r="D607" i="13"/>
  <c r="E607" i="13" l="1"/>
  <c r="D608" i="13"/>
  <c r="E608" i="13" l="1"/>
  <c r="D609" i="13"/>
  <c r="E609" i="13" l="1"/>
  <c r="D610" i="13"/>
  <c r="E610" i="13" l="1"/>
  <c r="D611" i="13"/>
  <c r="E611" i="13" l="1"/>
  <c r="D612" i="13"/>
  <c r="E612" i="13" l="1"/>
  <c r="D613" i="13"/>
  <c r="E613" i="13" l="1"/>
  <c r="D614" i="13"/>
  <c r="E614" i="13" l="1"/>
  <c r="D615" i="13"/>
  <c r="E615" i="13" l="1"/>
  <c r="D616" i="13"/>
  <c r="E616" i="13" l="1"/>
  <c r="D617" i="13"/>
  <c r="E617" i="13" l="1"/>
  <c r="D618" i="13"/>
  <c r="E618" i="13" l="1"/>
  <c r="D619" i="13"/>
  <c r="E619" i="13" l="1"/>
  <c r="D620" i="13"/>
  <c r="E620" i="13" l="1"/>
  <c r="D621" i="13"/>
  <c r="E621" i="13" l="1"/>
  <c r="D622" i="13"/>
  <c r="E622" i="13" l="1"/>
  <c r="D623" i="13"/>
  <c r="E623" i="13" l="1"/>
  <c r="D624" i="13"/>
  <c r="E624" i="13" l="1"/>
  <c r="D625" i="13"/>
  <c r="E625" i="13" l="1"/>
  <c r="D626" i="13"/>
  <c r="E626" i="13" l="1"/>
  <c r="D627" i="13"/>
  <c r="E627" i="13" l="1"/>
  <c r="D628" i="13"/>
  <c r="E628" i="13" l="1"/>
  <c r="D629" i="13"/>
  <c r="E629" i="13" l="1"/>
  <c r="D630" i="13"/>
  <c r="E630" i="13" l="1"/>
  <c r="D631" i="13"/>
  <c r="E631" i="13" l="1"/>
  <c r="D632" i="13"/>
  <c r="E632" i="13" l="1"/>
  <c r="D633" i="13"/>
  <c r="E633" i="13" l="1"/>
  <c r="D634" i="13"/>
  <c r="E634" i="13" l="1"/>
  <c r="D635" i="13"/>
  <c r="E635" i="13" l="1"/>
  <c r="D636" i="13"/>
  <c r="E636" i="13" l="1"/>
  <c r="D637" i="13"/>
  <c r="E637" i="13" l="1"/>
  <c r="D638" i="13"/>
  <c r="E638" i="13" l="1"/>
  <c r="D639" i="13"/>
  <c r="E639" i="13" l="1"/>
  <c r="D640" i="13"/>
  <c r="E640" i="13" l="1"/>
  <c r="D641" i="13"/>
  <c r="E641" i="13" l="1"/>
  <c r="D642" i="13"/>
  <c r="E642" i="13" l="1"/>
  <c r="D643" i="13"/>
  <c r="E643" i="13" l="1"/>
  <c r="D644" i="13"/>
  <c r="E644" i="13" l="1"/>
  <c r="D645" i="13"/>
  <c r="E645" i="13" l="1"/>
  <c r="D646" i="13"/>
  <c r="E646" i="13" l="1"/>
  <c r="D647" i="13"/>
  <c r="E647" i="13" l="1"/>
  <c r="D648" i="13"/>
  <c r="E648" i="13" l="1"/>
  <c r="D649" i="13"/>
  <c r="E649" i="13" l="1"/>
  <c r="D650" i="13"/>
  <c r="E650" i="13" l="1"/>
  <c r="D651" i="13"/>
  <c r="E651" i="13" l="1"/>
  <c r="D652" i="13"/>
  <c r="E652" i="13" l="1"/>
  <c r="D653" i="13"/>
  <c r="E653" i="13" l="1"/>
  <c r="D654" i="13"/>
  <c r="E654" i="13" l="1"/>
  <c r="D655" i="13"/>
  <c r="E655" i="13" l="1"/>
  <c r="D656" i="13"/>
  <c r="E656" i="13" l="1"/>
  <c r="D657" i="13"/>
  <c r="E657" i="13" l="1"/>
  <c r="D658" i="13"/>
  <c r="E658" i="13" l="1"/>
  <c r="D659" i="13"/>
  <c r="E659" i="13" l="1"/>
  <c r="D660" i="13"/>
  <c r="E660" i="13" l="1"/>
  <c r="D661" i="13"/>
  <c r="E661" i="13" l="1"/>
  <c r="D662" i="13"/>
  <c r="E662" i="13" l="1"/>
  <c r="D663" i="13"/>
  <c r="E663" i="13" l="1"/>
  <c r="D664" i="13"/>
  <c r="E664" i="13" l="1"/>
  <c r="D665" i="13"/>
  <c r="E665" i="13" l="1"/>
  <c r="D666" i="13"/>
  <c r="E666" i="13" l="1"/>
  <c r="D667" i="13"/>
  <c r="E667" i="13" l="1"/>
  <c r="D668" i="13"/>
  <c r="E668" i="13" l="1"/>
  <c r="D669" i="13"/>
  <c r="E669" i="13" l="1"/>
  <c r="D670" i="13"/>
  <c r="E670" i="13" l="1"/>
  <c r="D671" i="13"/>
  <c r="E671" i="13" l="1"/>
  <c r="D672" i="13"/>
  <c r="E672" i="13" l="1"/>
  <c r="D673" i="13"/>
  <c r="E673" i="13" l="1"/>
  <c r="D674" i="13"/>
  <c r="E674" i="13" l="1"/>
  <c r="D675" i="13"/>
  <c r="E675" i="13" l="1"/>
  <c r="D676" i="13"/>
  <c r="E676" i="13" l="1"/>
  <c r="D677" i="13"/>
  <c r="E677" i="13" l="1"/>
  <c r="D678" i="13"/>
  <c r="E678" i="13" l="1"/>
  <c r="D679" i="13"/>
  <c r="E679" i="13" l="1"/>
  <c r="D680" i="13"/>
  <c r="E680" i="13" l="1"/>
  <c r="D681" i="13"/>
  <c r="E681" i="13" l="1"/>
  <c r="D682" i="13"/>
  <c r="E682" i="13" l="1"/>
  <c r="D683" i="13"/>
  <c r="E683" i="13" l="1"/>
  <c r="D684" i="13"/>
  <c r="E684" i="13" l="1"/>
  <c r="D685" i="13"/>
  <c r="E685" i="13" l="1"/>
  <c r="D686" i="13"/>
  <c r="E686" i="13" l="1"/>
  <c r="D687" i="13"/>
  <c r="E687" i="13" l="1"/>
  <c r="D688" i="13"/>
  <c r="E688" i="13" l="1"/>
  <c r="D689" i="13"/>
  <c r="E689" i="13" l="1"/>
  <c r="D690" i="13"/>
  <c r="E690" i="13" l="1"/>
  <c r="D691" i="13"/>
  <c r="E691" i="13" l="1"/>
  <c r="D692" i="13"/>
  <c r="E692" i="13" l="1"/>
  <c r="D693" i="13"/>
  <c r="E693" i="13" l="1"/>
  <c r="D694" i="13"/>
  <c r="E694" i="13" l="1"/>
  <c r="D695" i="13"/>
  <c r="E695" i="13" l="1"/>
  <c r="D696" i="13"/>
  <c r="E696" i="13" l="1"/>
  <c r="D697" i="13"/>
  <c r="E697" i="13" l="1"/>
  <c r="D698" i="13"/>
  <c r="E698" i="13" l="1"/>
  <c r="D699" i="13"/>
  <c r="E699" i="13" l="1"/>
  <c r="D700" i="13"/>
  <c r="E700" i="13" l="1"/>
  <c r="D701" i="13"/>
  <c r="E701" i="13" l="1"/>
  <c r="D702" i="13"/>
  <c r="E702" i="13" l="1"/>
  <c r="D703" i="13"/>
  <c r="E703" i="13" l="1"/>
  <c r="D704" i="13"/>
  <c r="E704" i="13" l="1"/>
  <c r="D705" i="13"/>
  <c r="E705" i="13" l="1"/>
  <c r="D706" i="13"/>
  <c r="E706" i="13" l="1"/>
  <c r="D707" i="13"/>
  <c r="E707" i="13" l="1"/>
  <c r="D708" i="13"/>
  <c r="E708" i="13" l="1"/>
  <c r="D709" i="13"/>
  <c r="E709" i="13" l="1"/>
  <c r="D710" i="13"/>
  <c r="E710" i="13" l="1"/>
  <c r="D711" i="13"/>
  <c r="E711" i="13" l="1"/>
  <c r="D712" i="13"/>
  <c r="E712" i="13" l="1"/>
  <c r="D713" i="13"/>
  <c r="E713" i="13" l="1"/>
  <c r="D714" i="13"/>
  <c r="E714" i="13" l="1"/>
  <c r="D715" i="13"/>
  <c r="E715" i="13" l="1"/>
  <c r="D716" i="13"/>
  <c r="E716" i="13" l="1"/>
  <c r="D717" i="13"/>
  <c r="E717" i="13" l="1"/>
  <c r="D718" i="13"/>
  <c r="E718" i="13" l="1"/>
  <c r="D719" i="13"/>
  <c r="E719" i="13" l="1"/>
  <c r="D720" i="13"/>
  <c r="E720" i="13" l="1"/>
  <c r="D721" i="13"/>
  <c r="E721" i="13" l="1"/>
  <c r="D722" i="13"/>
  <c r="E722" i="13" l="1"/>
  <c r="D723" i="13"/>
  <c r="E723" i="13" l="1"/>
  <c r="D724" i="13"/>
  <c r="E724" i="13" l="1"/>
  <c r="D725" i="13"/>
  <c r="E725" i="13" l="1"/>
  <c r="D726" i="13"/>
  <c r="E726" i="13" l="1"/>
  <c r="D727" i="13"/>
  <c r="E727" i="13" l="1"/>
  <c r="D728" i="13"/>
  <c r="E728" i="13" l="1"/>
  <c r="D729" i="13"/>
  <c r="E729" i="13" l="1"/>
  <c r="D730" i="13"/>
  <c r="E730" i="13" l="1"/>
  <c r="D731" i="13"/>
  <c r="E731" i="13" l="1"/>
  <c r="D732" i="13"/>
  <c r="E732" i="13" l="1"/>
  <c r="D733" i="13"/>
  <c r="E733" i="13" l="1"/>
  <c r="D734" i="13"/>
  <c r="E734" i="13" l="1"/>
  <c r="D735" i="13"/>
  <c r="E735" i="13" l="1"/>
  <c r="D736" i="13"/>
  <c r="E736" i="13" l="1"/>
  <c r="D737" i="13"/>
  <c r="E737" i="13" l="1"/>
  <c r="D738" i="13"/>
  <c r="E738" i="13" l="1"/>
  <c r="D739" i="13"/>
  <c r="E739" i="13" l="1"/>
  <c r="D740" i="13"/>
  <c r="E740" i="13" l="1"/>
  <c r="D741" i="13"/>
  <c r="E741" i="13" l="1"/>
  <c r="D742" i="13"/>
  <c r="E742" i="13" l="1"/>
  <c r="D743" i="13"/>
  <c r="E743" i="13" l="1"/>
  <c r="D744" i="13"/>
  <c r="E744" i="13" l="1"/>
  <c r="D745" i="13"/>
  <c r="E745" i="13" l="1"/>
  <c r="D746" i="13"/>
  <c r="E746" i="13" l="1"/>
  <c r="D747" i="13"/>
  <c r="E747" i="13" l="1"/>
  <c r="D748" i="13"/>
  <c r="E748" i="13" l="1"/>
  <c r="D749" i="13"/>
  <c r="E749" i="13" l="1"/>
  <c r="D750" i="13"/>
  <c r="E750" i="13" l="1"/>
  <c r="D751" i="13"/>
  <c r="E751" i="13" l="1"/>
  <c r="D752" i="13"/>
  <c r="E752" i="13" l="1"/>
  <c r="D753" i="13"/>
  <c r="E753" i="13" l="1"/>
  <c r="D754" i="13"/>
  <c r="E754" i="13" l="1"/>
  <c r="D755" i="13"/>
  <c r="E755" i="13" l="1"/>
  <c r="D756" i="13"/>
  <c r="E756" i="13" l="1"/>
  <c r="D757" i="13"/>
  <c r="E757" i="13" l="1"/>
  <c r="D758" i="13"/>
  <c r="E758" i="13" l="1"/>
  <c r="D759" i="13"/>
  <c r="E759" i="13" l="1"/>
  <c r="D760" i="13"/>
  <c r="E760" i="13" l="1"/>
  <c r="D761" i="13"/>
  <c r="E761" i="13" l="1"/>
  <c r="D762" i="13"/>
  <c r="E762" i="13" l="1"/>
  <c r="D763" i="13"/>
  <c r="E763" i="13" l="1"/>
  <c r="D764" i="13"/>
  <c r="E764" i="13" l="1"/>
  <c r="D765" i="13"/>
  <c r="E765" i="13" l="1"/>
  <c r="D766" i="13"/>
  <c r="E766" i="13" l="1"/>
  <c r="D767" i="13"/>
  <c r="E767" i="13" l="1"/>
  <c r="D768" i="13"/>
  <c r="E768" i="13" l="1"/>
  <c r="D769" i="13"/>
  <c r="E769" i="13" l="1"/>
  <c r="D770" i="13"/>
  <c r="E770" i="13" l="1"/>
  <c r="D771" i="13"/>
  <c r="E771" i="13" l="1"/>
  <c r="D772" i="13"/>
  <c r="E772" i="13" l="1"/>
  <c r="D773" i="13"/>
  <c r="E773" i="13" l="1"/>
  <c r="D774" i="13"/>
  <c r="E774" i="13" l="1"/>
  <c r="D775" i="13"/>
  <c r="E775" i="13" l="1"/>
  <c r="D776" i="13"/>
  <c r="E776" i="13" l="1"/>
  <c r="D777" i="13"/>
  <c r="E777" i="13" l="1"/>
  <c r="D778" i="13"/>
  <c r="E778" i="13" l="1"/>
  <c r="D779" i="13"/>
  <c r="E779" i="13" l="1"/>
  <c r="D780" i="13"/>
  <c r="E780" i="13" l="1"/>
  <c r="D781" i="13"/>
  <c r="E781" i="13" l="1"/>
  <c r="D782" i="13"/>
  <c r="E782" i="13" l="1"/>
  <c r="D783" i="13"/>
  <c r="E783" i="13" l="1"/>
  <c r="D784" i="13"/>
  <c r="E784" i="13" l="1"/>
  <c r="D785" i="13"/>
  <c r="E785" i="13" l="1"/>
  <c r="D786" i="13"/>
  <c r="E786" i="13" l="1"/>
  <c r="D787" i="13"/>
  <c r="E787" i="13" l="1"/>
  <c r="D788" i="13"/>
  <c r="E788" i="13" l="1"/>
  <c r="D789" i="13"/>
  <c r="E789" i="13" l="1"/>
  <c r="D790" i="13"/>
  <c r="E790" i="13" l="1"/>
  <c r="D791" i="13"/>
  <c r="E791" i="13" l="1"/>
  <c r="D792" i="13"/>
  <c r="E792" i="13" l="1"/>
  <c r="D793" i="13"/>
  <c r="E793" i="13" l="1"/>
  <c r="D794" i="13"/>
  <c r="E794" i="13" l="1"/>
  <c r="D795" i="13"/>
  <c r="E795" i="13" l="1"/>
  <c r="D796" i="13"/>
  <c r="E796" i="13" l="1"/>
  <c r="D797" i="13"/>
  <c r="E797" i="13" l="1"/>
  <c r="D798" i="13"/>
  <c r="E798" i="13" l="1"/>
  <c r="D799" i="13"/>
  <c r="E799" i="13" l="1"/>
  <c r="D800" i="13"/>
  <c r="E800" i="13" l="1"/>
  <c r="D801" i="13"/>
  <c r="E801" i="13" l="1"/>
  <c r="D802" i="13"/>
  <c r="E802" i="13" l="1"/>
  <c r="D803" i="13"/>
  <c r="E803" i="13" l="1"/>
  <c r="D804" i="13"/>
  <c r="E804" i="13" l="1"/>
  <c r="D805" i="13"/>
  <c r="E805" i="13" l="1"/>
  <c r="D806" i="13"/>
  <c r="E806" i="13" l="1"/>
  <c r="D807" i="13"/>
  <c r="E807" i="13" l="1"/>
  <c r="D808" i="13"/>
  <c r="E808" i="13" l="1"/>
  <c r="D809" i="13"/>
  <c r="E809" i="13" l="1"/>
  <c r="D810" i="13"/>
  <c r="E810" i="13" l="1"/>
  <c r="D811" i="13"/>
  <c r="E811" i="13" l="1"/>
  <c r="D812" i="13"/>
  <c r="E812" i="13" l="1"/>
  <c r="D813" i="13"/>
  <c r="E813" i="13" l="1"/>
  <c r="D814" i="13"/>
  <c r="E814" i="13" l="1"/>
  <c r="D815" i="13"/>
  <c r="E815" i="13" l="1"/>
  <c r="D816" i="13"/>
  <c r="E816" i="13" l="1"/>
  <c r="D817" i="13"/>
  <c r="E817" i="13" l="1"/>
  <c r="D818" i="13"/>
  <c r="E818" i="13" l="1"/>
  <c r="D819" i="13"/>
  <c r="E819" i="13" l="1"/>
  <c r="D820" i="13"/>
  <c r="E820" i="13" l="1"/>
  <c r="D821" i="13"/>
  <c r="E821" i="13" l="1"/>
  <c r="D822" i="13"/>
  <c r="E822" i="13" l="1"/>
  <c r="D823" i="13"/>
  <c r="E823" i="13" l="1"/>
  <c r="D824" i="13"/>
  <c r="E824" i="13" l="1"/>
  <c r="D825" i="13"/>
  <c r="E825" i="13" l="1"/>
  <c r="D826" i="13"/>
  <c r="E826" i="13" l="1"/>
  <c r="D827" i="13"/>
  <c r="E827" i="13" l="1"/>
  <c r="D828" i="13"/>
  <c r="E828" i="13" l="1"/>
  <c r="D829" i="13"/>
  <c r="E829" i="13" l="1"/>
  <c r="D830" i="13"/>
  <c r="E830" i="13" l="1"/>
  <c r="D831" i="13"/>
  <c r="E831" i="13" l="1"/>
  <c r="D832" i="13"/>
  <c r="E832" i="13" l="1"/>
  <c r="D833" i="13"/>
  <c r="E833" i="13" l="1"/>
  <c r="D834" i="13"/>
  <c r="E834" i="13" l="1"/>
  <c r="D835" i="13"/>
  <c r="E835" i="13" l="1"/>
  <c r="D836" i="13"/>
  <c r="E836" i="13" l="1"/>
  <c r="D837" i="13"/>
  <c r="E837" i="13" l="1"/>
  <c r="D838" i="13"/>
  <c r="E838" i="13" l="1"/>
  <c r="D839" i="13"/>
  <c r="E839" i="13" l="1"/>
  <c r="D840" i="13"/>
  <c r="E840" i="13" l="1"/>
  <c r="D841" i="13"/>
  <c r="E841" i="13" l="1"/>
  <c r="D842" i="13"/>
  <c r="E842" i="13" l="1"/>
  <c r="D843" i="13"/>
  <c r="E843" i="13" l="1"/>
  <c r="D844" i="13"/>
  <c r="E844" i="13" l="1"/>
  <c r="D845" i="13"/>
  <c r="E845" i="13" l="1"/>
  <c r="D846" i="13"/>
  <c r="E846" i="13" l="1"/>
  <c r="D847" i="13"/>
  <c r="E847" i="13" l="1"/>
  <c r="D848" i="13"/>
  <c r="E848" i="13" l="1"/>
  <c r="D849" i="13"/>
  <c r="E849" i="13" l="1"/>
  <c r="D850" i="13"/>
  <c r="E850" i="13" l="1"/>
  <c r="D851" i="13"/>
  <c r="E851" i="13" l="1"/>
  <c r="D852" i="13"/>
  <c r="E852" i="13" l="1"/>
  <c r="D853" i="13"/>
  <c r="E853" i="13" l="1"/>
  <c r="D854" i="13"/>
  <c r="E854" i="13" l="1"/>
  <c r="D855" i="13"/>
  <c r="E855" i="13" s="1"/>
  <c r="F852" i="13" s="1"/>
  <c r="G852" i="13" l="1"/>
  <c r="F846" i="13"/>
  <c r="F850" i="13"/>
  <c r="F854" i="13"/>
  <c r="F603" i="13"/>
  <c r="F432" i="13"/>
  <c r="F283" i="13"/>
  <c r="F463" i="13"/>
  <c r="F457" i="13"/>
  <c r="F428" i="13"/>
  <c r="F171" i="13"/>
  <c r="F254" i="13"/>
  <c r="F74" i="13"/>
  <c r="F250" i="13"/>
  <c r="F594" i="13"/>
  <c r="F219" i="13"/>
  <c r="F57" i="13"/>
  <c r="F583" i="13"/>
  <c r="F381" i="13"/>
  <c r="F251" i="13"/>
  <c r="F121" i="13"/>
  <c r="F487" i="13"/>
  <c r="F255" i="13"/>
  <c r="F86" i="13"/>
  <c r="F122" i="13"/>
  <c r="F526" i="13"/>
  <c r="F186" i="13"/>
  <c r="F34" i="13"/>
  <c r="F223" i="13"/>
  <c r="F379" i="13"/>
  <c r="F353" i="13"/>
  <c r="F468" i="13"/>
  <c r="F542" i="13"/>
  <c r="F566" i="13"/>
  <c r="F364" i="13"/>
  <c r="F129" i="13"/>
  <c r="F179" i="13"/>
  <c r="F562" i="13"/>
  <c r="F499" i="13"/>
  <c r="F159" i="13"/>
  <c r="F581" i="13"/>
  <c r="F376" i="13"/>
  <c r="F431" i="13"/>
  <c r="F298" i="13"/>
  <c r="F67" i="13"/>
  <c r="F482" i="13"/>
  <c r="F310" i="13"/>
  <c r="F294" i="13"/>
  <c r="F578" i="13"/>
  <c r="F366" i="13"/>
  <c r="F157" i="13"/>
  <c r="F522" i="13"/>
  <c r="F497" i="13"/>
  <c r="F107" i="13"/>
  <c r="F43" i="13"/>
  <c r="F384" i="13"/>
  <c r="F27" i="13"/>
  <c r="F46" i="13"/>
  <c r="F570" i="13"/>
  <c r="F545" i="13"/>
  <c r="F25" i="13"/>
  <c r="F446" i="13"/>
  <c r="F533" i="13"/>
  <c r="F323" i="13"/>
  <c r="F160" i="13"/>
  <c r="F554" i="13"/>
  <c r="F529" i="13"/>
  <c r="F59" i="13"/>
  <c r="F235" i="13"/>
  <c r="F543" i="13"/>
  <c r="F187" i="13"/>
  <c r="F369" i="13"/>
  <c r="F240" i="13"/>
  <c r="F475" i="13"/>
  <c r="F393" i="13"/>
  <c r="F365" i="13"/>
  <c r="F253" i="13"/>
  <c r="F110" i="13"/>
  <c r="F134" i="13"/>
  <c r="F152" i="13"/>
  <c r="F396" i="13"/>
  <c r="F93" i="13"/>
  <c r="F94" i="13"/>
  <c r="F576" i="13"/>
  <c r="F8" i="13"/>
  <c r="F265" i="13"/>
  <c r="F195" i="13"/>
  <c r="F450" i="13"/>
  <c r="F207" i="13"/>
  <c r="F363" i="13"/>
  <c r="F322" i="13"/>
  <c r="F63" i="13"/>
  <c r="F407" i="13"/>
  <c r="F292" i="13"/>
  <c r="F317" i="13"/>
  <c r="F291" i="13"/>
  <c r="F411" i="13"/>
  <c r="F137" i="13"/>
  <c r="F220" i="13"/>
  <c r="F440" i="13"/>
  <c r="F412" i="13"/>
  <c r="F276" i="13"/>
  <c r="F395" i="13"/>
  <c r="F502" i="13"/>
  <c r="F295" i="13"/>
  <c r="F591" i="13"/>
  <c r="F451" i="13"/>
  <c r="F14" i="13"/>
  <c r="F275" i="13"/>
  <c r="F302" i="13"/>
  <c r="F435" i="13"/>
  <c r="F509" i="13"/>
  <c r="F335" i="13"/>
  <c r="F200" i="13"/>
  <c r="F447" i="13"/>
  <c r="F4" i="13"/>
  <c r="F188" i="13"/>
  <c r="F569" i="13"/>
  <c r="F539" i="13"/>
  <c r="F68" i="13"/>
  <c r="F136" i="13"/>
  <c r="F342" i="13"/>
  <c r="F424" i="13"/>
  <c r="F383" i="13"/>
  <c r="F580" i="13"/>
  <c r="F267" i="13"/>
  <c r="F419" i="13"/>
  <c r="F493" i="13"/>
  <c r="F244" i="13"/>
  <c r="F146" i="13"/>
  <c r="F439" i="13"/>
  <c r="F345" i="13"/>
  <c r="F316" i="13"/>
  <c r="F422" i="13"/>
  <c r="F504" i="13"/>
  <c r="F303" i="13"/>
  <c r="F88" i="13"/>
  <c r="F575" i="13"/>
  <c r="F325" i="13"/>
  <c r="F299" i="13"/>
  <c r="F55" i="13"/>
  <c r="F301" i="13"/>
  <c r="F194" i="13"/>
  <c r="F185" i="13"/>
  <c r="F147" i="13"/>
  <c r="F312" i="13"/>
  <c r="F455" i="13"/>
  <c r="F119" i="13"/>
  <c r="F202" i="13"/>
  <c r="F225" i="13"/>
  <c r="F558" i="13"/>
  <c r="F227" i="13"/>
  <c r="F91" i="13"/>
  <c r="F402" i="13"/>
  <c r="F75" i="13"/>
  <c r="F320" i="13"/>
  <c r="F561" i="13"/>
  <c r="F73" i="13"/>
  <c r="F598" i="13"/>
  <c r="F398" i="13"/>
  <c r="F211" i="13"/>
  <c r="F106" i="13"/>
  <c r="F192" i="13"/>
  <c r="F537" i="13"/>
  <c r="F508" i="13"/>
  <c r="F339" i="13"/>
  <c r="F413" i="13"/>
  <c r="F31" i="13"/>
  <c r="F324" i="13"/>
  <c r="F577" i="13"/>
  <c r="F191" i="13"/>
  <c r="F175" i="13"/>
  <c r="F387" i="13"/>
  <c r="F461" i="13"/>
  <c r="F197" i="13"/>
  <c r="F327" i="13"/>
  <c r="F368" i="13"/>
  <c r="F169" i="13"/>
  <c r="F111" i="13"/>
  <c r="F371" i="13"/>
  <c r="F445" i="13"/>
  <c r="F271" i="13"/>
  <c r="F90" i="13"/>
  <c r="F571" i="13"/>
  <c r="F279" i="13"/>
  <c r="F261" i="13"/>
  <c r="F252" i="13"/>
  <c r="F48" i="13"/>
  <c r="F484" i="13"/>
  <c r="F278" i="13"/>
  <c r="F178" i="13"/>
  <c r="F281" i="13"/>
  <c r="F399" i="13"/>
  <c r="F163" i="13"/>
  <c r="F125" i="13"/>
  <c r="F460" i="13"/>
  <c r="F406" i="13"/>
  <c r="F102" i="13"/>
  <c r="F156" i="13"/>
  <c r="F426" i="13"/>
  <c r="F401" i="13"/>
  <c r="F182" i="13"/>
  <c r="F145" i="13"/>
  <c r="F416" i="13"/>
  <c r="F266" i="13"/>
  <c r="F132" i="13"/>
  <c r="F403" i="13"/>
  <c r="F226" i="13"/>
  <c r="F563" i="13"/>
  <c r="F351" i="13"/>
  <c r="F464" i="13"/>
  <c r="F313" i="13"/>
  <c r="F530" i="13"/>
  <c r="F29" i="13"/>
  <c r="F241" i="13"/>
  <c r="F120" i="13"/>
  <c r="F35" i="13"/>
  <c r="F448" i="13"/>
  <c r="F297" i="13"/>
  <c r="F49" i="13"/>
  <c r="F359" i="13"/>
  <c r="F315" i="13"/>
  <c r="F79" i="13"/>
  <c r="F510" i="13"/>
  <c r="F547" i="13"/>
  <c r="F332" i="13"/>
  <c r="F338" i="13"/>
  <c r="F5" i="13"/>
  <c r="F473" i="13"/>
  <c r="F444" i="13"/>
  <c r="F550" i="13"/>
  <c r="F349" i="13"/>
  <c r="F595" i="13"/>
  <c r="F282" i="13"/>
  <c r="F38" i="13"/>
  <c r="F541" i="13"/>
  <c r="F373" i="13"/>
  <c r="F236" i="13"/>
  <c r="F479" i="13"/>
  <c r="F319" i="13"/>
  <c r="F92" i="13"/>
  <c r="F438" i="13"/>
  <c r="F520" i="13"/>
  <c r="F162" i="13"/>
  <c r="F45" i="13"/>
  <c r="F434" i="13"/>
  <c r="F372" i="13"/>
  <c r="F183" i="13"/>
  <c r="F453" i="13"/>
  <c r="F237" i="13"/>
  <c r="F83" i="13"/>
  <c r="F15" i="13"/>
  <c r="F503" i="13"/>
  <c r="F355" i="13"/>
  <c r="F22" i="13"/>
  <c r="F249" i="13"/>
  <c r="F165" i="13"/>
  <c r="F7" i="13"/>
  <c r="F10" i="13"/>
  <c r="F58" i="13"/>
  <c r="F12" i="13"/>
  <c r="F417" i="13"/>
  <c r="F204" i="13"/>
  <c r="F247" i="13"/>
  <c r="F515" i="13"/>
  <c r="F588" i="13"/>
  <c r="F272" i="13"/>
  <c r="F458" i="13"/>
  <c r="F208" i="13"/>
  <c r="F203" i="13"/>
  <c r="F443" i="13"/>
  <c r="F485" i="13"/>
  <c r="F148" i="13"/>
  <c r="F142" i="13"/>
  <c r="F229" i="13"/>
  <c r="F66" i="13"/>
  <c r="F108" i="13"/>
  <c r="F415" i="13"/>
  <c r="F210" i="13"/>
  <c r="F32" i="13"/>
  <c r="F321" i="13"/>
  <c r="F408" i="13"/>
  <c r="F290" i="13"/>
  <c r="F37" i="13"/>
  <c r="F582" i="13"/>
  <c r="F6" i="13"/>
  <c r="F158" i="13"/>
  <c r="F483" i="13"/>
  <c r="F557" i="13"/>
  <c r="F274" i="13"/>
  <c r="F177" i="13"/>
  <c r="F599" i="13"/>
  <c r="F410" i="13"/>
  <c r="F380" i="13"/>
  <c r="F486" i="13"/>
  <c r="F568" i="13"/>
  <c r="F597" i="13"/>
  <c r="F392" i="13"/>
  <c r="F170" i="13"/>
  <c r="F343" i="13"/>
  <c r="F593" i="13"/>
  <c r="F213" i="13"/>
  <c r="F13" i="13"/>
  <c r="F135" i="13"/>
  <c r="F180" i="13"/>
  <c r="F87" i="13"/>
  <c r="F518" i="13"/>
  <c r="F601" i="13"/>
  <c r="F98" i="13"/>
  <c r="F289" i="13"/>
  <c r="F367" i="13"/>
  <c r="F39" i="13"/>
  <c r="F117" i="13"/>
  <c r="F496" i="13"/>
  <c r="F256" i="13"/>
  <c r="F174" i="13"/>
  <c r="F521" i="13"/>
  <c r="F492" i="13"/>
  <c r="F109" i="13"/>
  <c r="F199" i="13"/>
  <c r="F113" i="13"/>
  <c r="F139" i="13"/>
  <c r="F17" i="13"/>
  <c r="F391" i="13"/>
  <c r="F354" i="13"/>
  <c r="F166" i="13"/>
  <c r="F143" i="13"/>
  <c r="F452" i="13"/>
  <c r="F525" i="13"/>
  <c r="F28" i="13"/>
  <c r="F394" i="13"/>
  <c r="F131" i="13"/>
  <c r="F505" i="13"/>
  <c r="F476" i="13"/>
  <c r="F97" i="13"/>
  <c r="F36" i="13"/>
  <c r="F565" i="13"/>
  <c r="F360" i="13"/>
  <c r="F556" i="13"/>
  <c r="F516" i="13"/>
  <c r="F126" i="13"/>
  <c r="F559" i="13"/>
  <c r="F260" i="13"/>
  <c r="F378" i="13"/>
  <c r="F309" i="13"/>
  <c r="F123" i="13"/>
  <c r="F61" i="13"/>
  <c r="F506" i="13"/>
  <c r="F481" i="13"/>
  <c r="F596" i="13"/>
  <c r="F382" i="13"/>
  <c r="F103" i="13"/>
  <c r="F114" i="13"/>
  <c r="F546" i="13"/>
  <c r="F78" i="13"/>
  <c r="F189" i="13"/>
  <c r="F44" i="13"/>
  <c r="F430" i="13"/>
  <c r="F116" i="13"/>
  <c r="F586" i="13"/>
  <c r="F511" i="13"/>
  <c r="F467" i="13"/>
  <c r="F173" i="13"/>
  <c r="F217" i="13"/>
  <c r="F414" i="13"/>
  <c r="F528" i="13"/>
  <c r="F47" i="13"/>
  <c r="F304" i="13"/>
  <c r="F84" i="13"/>
  <c r="F215" i="13"/>
  <c r="F18" i="13"/>
  <c r="F60" i="13"/>
  <c r="F454" i="13"/>
  <c r="F535" i="13"/>
  <c r="F72" i="13"/>
  <c r="F222" i="13"/>
  <c r="F544" i="13"/>
  <c r="F42" i="13"/>
  <c r="F62" i="13"/>
  <c r="F258" i="13"/>
  <c r="F70" i="13"/>
  <c r="F540" i="13"/>
  <c r="F21" i="13"/>
  <c r="F168" i="13"/>
  <c r="F245" i="13"/>
  <c r="F347" i="13"/>
  <c r="F280" i="13"/>
  <c r="F138" i="13"/>
  <c r="F466" i="13"/>
  <c r="F269" i="13"/>
  <c r="F268" i="13"/>
  <c r="F357" i="13"/>
  <c r="F232" i="13"/>
  <c r="F167" i="13"/>
  <c r="F85" i="13"/>
  <c r="F514" i="13"/>
  <c r="F308" i="13"/>
  <c r="F427" i="13"/>
  <c r="F501" i="13"/>
  <c r="F584" i="13"/>
  <c r="F164" i="13"/>
  <c r="F71" i="13"/>
  <c r="F498" i="13"/>
  <c r="F436" i="13"/>
  <c r="F206" i="13"/>
  <c r="F517" i="13"/>
  <c r="F311" i="13"/>
  <c r="F341" i="13"/>
  <c r="F228" i="13"/>
  <c r="F216" i="13"/>
  <c r="F361" i="13"/>
  <c r="F336" i="13"/>
  <c r="F326" i="13"/>
  <c r="F133" i="13"/>
  <c r="F352" i="13"/>
  <c r="F172" i="13"/>
  <c r="F356" i="13"/>
  <c r="F429" i="13"/>
  <c r="F76" i="13"/>
  <c r="F264" i="13"/>
  <c r="F350" i="13"/>
  <c r="F564" i="13"/>
  <c r="F69" i="13"/>
  <c r="F358" i="13"/>
  <c r="F441" i="13"/>
  <c r="F218" i="13"/>
  <c r="F346" i="13"/>
  <c r="F314" i="13"/>
  <c r="F231" i="13"/>
  <c r="F184" i="13"/>
  <c r="F405" i="13"/>
  <c r="F488" i="13"/>
  <c r="F523" i="13"/>
  <c r="F362" i="13"/>
  <c r="F471" i="13"/>
  <c r="F293" i="13"/>
  <c r="F277" i="13"/>
  <c r="F390" i="13"/>
  <c r="F472" i="13"/>
  <c r="F99" i="13"/>
  <c r="F24" i="13"/>
  <c r="F459" i="13"/>
  <c r="F155" i="13"/>
  <c r="F20" i="13"/>
  <c r="F54" i="13"/>
  <c r="F130" i="13"/>
  <c r="F512" i="13"/>
  <c r="F100" i="13"/>
  <c r="F386" i="13"/>
  <c r="F574" i="13"/>
  <c r="F233" i="13"/>
  <c r="F538" i="13"/>
  <c r="F513" i="13"/>
  <c r="F141" i="13"/>
  <c r="F50" i="13"/>
  <c r="F318" i="13"/>
  <c r="F397" i="13"/>
  <c r="F214" i="13"/>
  <c r="F553" i="13"/>
  <c r="F524" i="13"/>
  <c r="F80" i="13"/>
  <c r="F462" i="13"/>
  <c r="F209" i="13"/>
  <c r="F273" i="13"/>
  <c r="F40" i="13"/>
  <c r="F600" i="13"/>
  <c r="F572" i="13"/>
  <c r="F404" i="13"/>
  <c r="F477" i="13"/>
  <c r="F560" i="13"/>
  <c r="F77" i="13"/>
  <c r="F96" i="13"/>
  <c r="F585" i="13"/>
  <c r="F555" i="13"/>
  <c r="F262" i="13"/>
  <c r="F26" i="13"/>
  <c r="F287" i="13"/>
  <c r="F51" i="13"/>
  <c r="F52" i="13"/>
  <c r="F30" i="13"/>
  <c r="F587" i="13"/>
  <c r="F420" i="13"/>
  <c r="F56" i="13"/>
  <c r="F124" i="13"/>
  <c r="F118" i="13"/>
  <c r="F205" i="13"/>
  <c r="F296" i="13"/>
  <c r="F567" i="13"/>
  <c r="F300" i="13"/>
  <c r="F340" i="13"/>
  <c r="F89" i="13"/>
  <c r="F500" i="13"/>
  <c r="F573" i="13"/>
  <c r="F400" i="13"/>
  <c r="F248" i="13"/>
  <c r="F536" i="13"/>
  <c r="F16" i="13"/>
  <c r="F154" i="13"/>
  <c r="F469" i="13"/>
  <c r="F263" i="13"/>
  <c r="F305" i="13"/>
  <c r="F490" i="13"/>
  <c r="F465" i="13"/>
  <c r="F201" i="13"/>
  <c r="F242" i="13"/>
  <c r="F480" i="13"/>
  <c r="F330" i="13"/>
  <c r="F246" i="13"/>
  <c r="F23" i="13"/>
  <c r="F333" i="13"/>
  <c r="F81" i="13"/>
  <c r="F181" i="13"/>
  <c r="F41" i="13"/>
  <c r="F495" i="13"/>
  <c r="F193" i="13"/>
  <c r="F375" i="13"/>
  <c r="F288" i="13"/>
  <c r="F474" i="13"/>
  <c r="F449" i="13"/>
  <c r="F285" i="13"/>
  <c r="F284" i="13"/>
  <c r="F534" i="13"/>
  <c r="F331" i="13"/>
  <c r="F257" i="13"/>
  <c r="F489" i="13"/>
  <c r="F589" i="13"/>
  <c r="F374" i="13"/>
  <c r="F456" i="13"/>
  <c r="F150" i="13"/>
  <c r="F95" i="13"/>
  <c r="F370" i="13"/>
  <c r="F307" i="13"/>
  <c r="F334" i="13"/>
  <c r="F388" i="13"/>
  <c r="F243" i="13"/>
  <c r="F337" i="13"/>
  <c r="F377" i="13"/>
  <c r="F348" i="13"/>
  <c r="F9" i="13"/>
  <c r="F328" i="13"/>
  <c r="F437" i="13"/>
  <c r="F101" i="13"/>
  <c r="F507" i="13"/>
  <c r="F389" i="13"/>
  <c r="F329" i="13"/>
  <c r="F239" i="13"/>
  <c r="F198" i="13"/>
  <c r="F421" i="13"/>
  <c r="F238" i="13"/>
  <c r="F11" i="13"/>
  <c r="F127" i="13"/>
  <c r="F579" i="13"/>
  <c r="F161" i="13"/>
  <c r="F33" i="13"/>
  <c r="F19" i="13"/>
  <c r="F590" i="13"/>
  <c r="F176" i="13"/>
  <c r="F190" i="13"/>
  <c r="F221" i="13"/>
  <c r="F442" i="13"/>
  <c r="F418" i="13"/>
  <c r="F531" i="13"/>
  <c r="F433" i="13"/>
  <c r="F212" i="13"/>
  <c r="F149" i="13"/>
  <c r="F549" i="13"/>
  <c r="F344" i="13"/>
  <c r="F104" i="13"/>
  <c r="F224" i="13"/>
  <c r="F494" i="13"/>
  <c r="F128" i="13"/>
  <c r="F112" i="13"/>
  <c r="F115" i="13"/>
  <c r="F230" i="13"/>
  <c r="F527" i="13"/>
  <c r="F548" i="13"/>
  <c r="F82" i="13"/>
  <c r="F234" i="13"/>
  <c r="F140" i="13"/>
  <c r="F306" i="13"/>
  <c r="F105" i="13"/>
  <c r="F153" i="13"/>
  <c r="F409" i="13"/>
  <c r="F385" i="13"/>
  <c r="F151" i="13"/>
  <c r="F64" i="13"/>
  <c r="F470" i="13"/>
  <c r="F551" i="13"/>
  <c r="F423" i="13"/>
  <c r="F425" i="13"/>
  <c r="F519" i="13"/>
  <c r="F532" i="13"/>
  <c r="F196" i="13"/>
  <c r="F53" i="13"/>
  <c r="F478" i="13"/>
  <c r="F592" i="13"/>
  <c r="F144" i="13"/>
  <c r="F602" i="13"/>
  <c r="F259" i="13"/>
  <c r="F286" i="13"/>
  <c r="F552" i="13"/>
  <c r="F270" i="13"/>
  <c r="F65" i="13"/>
  <c r="F491"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F663" i="13"/>
  <c r="F664" i="13"/>
  <c r="F665" i="13"/>
  <c r="F666" i="13"/>
  <c r="F667" i="13"/>
  <c r="F668" i="13"/>
  <c r="F669" i="13"/>
  <c r="F670" i="13"/>
  <c r="F671" i="13"/>
  <c r="F672" i="13"/>
  <c r="F673" i="13"/>
  <c r="F674" i="13"/>
  <c r="F675" i="13"/>
  <c r="F676" i="13"/>
  <c r="F677" i="13"/>
  <c r="F678" i="13"/>
  <c r="F679" i="13"/>
  <c r="F680" i="13"/>
  <c r="F681" i="13"/>
  <c r="F682" i="13"/>
  <c r="F683" i="13"/>
  <c r="F684" i="13"/>
  <c r="F685" i="13"/>
  <c r="F686" i="13"/>
  <c r="F687" i="13"/>
  <c r="F688" i="13"/>
  <c r="F689" i="13"/>
  <c r="F690" i="13"/>
  <c r="F691" i="13"/>
  <c r="F692" i="13"/>
  <c r="F693" i="13"/>
  <c r="F694" i="13"/>
  <c r="F695" i="13"/>
  <c r="F696" i="13"/>
  <c r="F697" i="13"/>
  <c r="F698" i="13"/>
  <c r="F699" i="13"/>
  <c r="F700" i="13"/>
  <c r="F701" i="13"/>
  <c r="F702" i="13"/>
  <c r="F703" i="13"/>
  <c r="F704" i="13"/>
  <c r="F705" i="13"/>
  <c r="F706" i="13"/>
  <c r="F707" i="13"/>
  <c r="F708"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1" i="13"/>
  <c r="F742" i="13"/>
  <c r="F743" i="13"/>
  <c r="F744" i="13"/>
  <c r="F745" i="13"/>
  <c r="F746" i="13"/>
  <c r="F747" i="13"/>
  <c r="F748" i="13"/>
  <c r="F749" i="13"/>
  <c r="F750" i="13"/>
  <c r="F751" i="13"/>
  <c r="F752" i="13"/>
  <c r="F753" i="13"/>
  <c r="F754" i="13"/>
  <c r="F755" i="13"/>
  <c r="F756" i="13"/>
  <c r="F757" i="13"/>
  <c r="F758" i="13"/>
  <c r="F759" i="13"/>
  <c r="F760" i="13"/>
  <c r="F761" i="13"/>
  <c r="F762" i="13"/>
  <c r="F763" i="13"/>
  <c r="F764" i="13"/>
  <c r="F765" i="13"/>
  <c r="F766" i="13"/>
  <c r="F767" i="13"/>
  <c r="F768" i="13"/>
  <c r="F769" i="13"/>
  <c r="F770" i="13"/>
  <c r="F771" i="13"/>
  <c r="F772" i="13"/>
  <c r="F773" i="13"/>
  <c r="F774" i="13"/>
  <c r="F775" i="13"/>
  <c r="F776" i="13"/>
  <c r="F777" i="13"/>
  <c r="F778" i="13"/>
  <c r="F779" i="13"/>
  <c r="F780" i="13"/>
  <c r="F781" i="13"/>
  <c r="F782" i="13"/>
  <c r="F783" i="13"/>
  <c r="F784" i="13"/>
  <c r="F785" i="13"/>
  <c r="F786" i="13"/>
  <c r="F787" i="13"/>
  <c r="F788" i="13"/>
  <c r="F789" i="13"/>
  <c r="F790" i="13"/>
  <c r="F791" i="13"/>
  <c r="F792" i="13"/>
  <c r="F793" i="13"/>
  <c r="F794" i="13"/>
  <c r="F795" i="13"/>
  <c r="F796" i="13"/>
  <c r="F797" i="13"/>
  <c r="F798" i="13"/>
  <c r="F799" i="13"/>
  <c r="F800" i="13"/>
  <c r="F801" i="13"/>
  <c r="F802" i="13"/>
  <c r="F803" i="13"/>
  <c r="F804" i="13"/>
  <c r="F805" i="13"/>
  <c r="F806" i="13"/>
  <c r="F807" i="13"/>
  <c r="F808" i="13"/>
  <c r="F809" i="13"/>
  <c r="F810" i="13"/>
  <c r="F811" i="13"/>
  <c r="F812" i="13"/>
  <c r="F813" i="13"/>
  <c r="F814" i="13"/>
  <c r="F815" i="13"/>
  <c r="F816" i="13"/>
  <c r="F817" i="13"/>
  <c r="F818" i="13"/>
  <c r="F819" i="13"/>
  <c r="F820" i="13"/>
  <c r="F821" i="13"/>
  <c r="F822" i="13"/>
  <c r="F823" i="13"/>
  <c r="F824" i="13"/>
  <c r="F825" i="13"/>
  <c r="F826" i="13"/>
  <c r="F827" i="13"/>
  <c r="F828" i="13"/>
  <c r="F829" i="13"/>
  <c r="F830" i="13"/>
  <c r="F831" i="13"/>
  <c r="F832" i="13"/>
  <c r="F833" i="13"/>
  <c r="F834" i="13"/>
  <c r="F835" i="13"/>
  <c r="F836" i="13"/>
  <c r="F837" i="13"/>
  <c r="F838" i="13"/>
  <c r="F839" i="13"/>
  <c r="F840" i="13"/>
  <c r="F841" i="13"/>
  <c r="F842" i="13"/>
  <c r="F843" i="13"/>
  <c r="F848" i="13"/>
  <c r="F844" i="13"/>
  <c r="F853" i="13"/>
  <c r="F845" i="13"/>
  <c r="F849" i="13"/>
  <c r="F851" i="13"/>
  <c r="F847" i="13"/>
  <c r="G840" i="13" l="1"/>
  <c r="I840" i="13"/>
  <c r="G820" i="13"/>
  <c r="I820" i="13"/>
  <c r="G800" i="13"/>
  <c r="I800" i="13"/>
  <c r="G784" i="13"/>
  <c r="I784" i="13"/>
  <c r="G839" i="13"/>
  <c r="I839" i="13"/>
  <c r="G827" i="13"/>
  <c r="I827" i="13"/>
  <c r="G842" i="13"/>
  <c r="I842" i="13"/>
  <c r="G838" i="13"/>
  <c r="I838" i="13"/>
  <c r="I830" i="13"/>
  <c r="G830" i="13"/>
  <c r="G818" i="13"/>
  <c r="I818" i="13"/>
  <c r="G814" i="13"/>
  <c r="I814" i="13"/>
  <c r="G806" i="13"/>
  <c r="I806" i="13"/>
  <c r="I798" i="13"/>
  <c r="G798" i="13"/>
  <c r="I786" i="13"/>
  <c r="G786" i="13"/>
  <c r="G782" i="13"/>
  <c r="I782" i="13"/>
  <c r="G774" i="13"/>
  <c r="I774" i="13"/>
  <c r="I766" i="13"/>
  <c r="G766" i="13"/>
  <c r="G754" i="13"/>
  <c r="I754" i="13"/>
  <c r="G746" i="13"/>
  <c r="I746" i="13"/>
  <c r="G742" i="13"/>
  <c r="I742" i="13"/>
  <c r="G734" i="13"/>
  <c r="I734" i="13"/>
  <c r="G726" i="13"/>
  <c r="I726" i="13"/>
  <c r="G714" i="13"/>
  <c r="I714" i="13"/>
  <c r="G706" i="13"/>
  <c r="I706" i="13"/>
  <c r="G698" i="13"/>
  <c r="I698" i="13"/>
  <c r="G690" i="13"/>
  <c r="I690" i="13"/>
  <c r="G682" i="13"/>
  <c r="I682" i="13"/>
  <c r="G674" i="13"/>
  <c r="I674" i="13"/>
  <c r="G666" i="13"/>
  <c r="I666" i="13"/>
  <c r="G658" i="13"/>
  <c r="I658" i="13"/>
  <c r="I650" i="13"/>
  <c r="G650" i="13"/>
  <c r="G642" i="13"/>
  <c r="I642" i="13"/>
  <c r="G634" i="13"/>
  <c r="I634" i="13"/>
  <c r="G626" i="13"/>
  <c r="I626" i="13"/>
  <c r="I622" i="13"/>
  <c r="G622" i="13"/>
  <c r="I618" i="13"/>
  <c r="G618" i="13"/>
  <c r="G614" i="13"/>
  <c r="I614" i="13"/>
  <c r="G610" i="13"/>
  <c r="I610" i="13"/>
  <c r="I606" i="13"/>
  <c r="G606" i="13"/>
  <c r="G65" i="13"/>
  <c r="I65" i="13"/>
  <c r="I259" i="13"/>
  <c r="G259" i="13"/>
  <c r="I478" i="13"/>
  <c r="G478" i="13"/>
  <c r="G519" i="13"/>
  <c r="I519" i="13"/>
  <c r="G470" i="13"/>
  <c r="I470" i="13"/>
  <c r="I409" i="13"/>
  <c r="G409" i="13"/>
  <c r="G140" i="13"/>
  <c r="I140" i="13"/>
  <c r="G527" i="13"/>
  <c r="I527" i="13"/>
  <c r="G128" i="13"/>
  <c r="I128" i="13"/>
  <c r="G344" i="13"/>
  <c r="I344" i="13"/>
  <c r="I433" i="13"/>
  <c r="G433" i="13"/>
  <c r="G221" i="13"/>
  <c r="I221" i="13"/>
  <c r="I19" i="13"/>
  <c r="G19" i="13"/>
  <c r="G127" i="13"/>
  <c r="I127" i="13"/>
  <c r="G198" i="13"/>
  <c r="I198" i="13"/>
  <c r="G507" i="13"/>
  <c r="I507" i="13"/>
  <c r="I9" i="13"/>
  <c r="G9" i="13"/>
  <c r="G243" i="13"/>
  <c r="I243" i="13"/>
  <c r="G370" i="13"/>
  <c r="I370" i="13"/>
  <c r="G374" i="13"/>
  <c r="I374" i="13"/>
  <c r="G331" i="13"/>
  <c r="I331" i="13"/>
  <c r="G449" i="13"/>
  <c r="I449" i="13"/>
  <c r="I193" i="13"/>
  <c r="G193" i="13"/>
  <c r="G81" i="13"/>
  <c r="I81" i="13"/>
  <c r="I330" i="13"/>
  <c r="G330" i="13"/>
  <c r="I465" i="13"/>
  <c r="G465" i="13"/>
  <c r="G469" i="13"/>
  <c r="I469" i="13"/>
  <c r="I248" i="13"/>
  <c r="G248" i="13"/>
  <c r="G89" i="13"/>
  <c r="I89" i="13"/>
  <c r="G296" i="13"/>
  <c r="I296" i="13"/>
  <c r="G56" i="13"/>
  <c r="I56" i="13"/>
  <c r="G52" i="13"/>
  <c r="I52" i="13"/>
  <c r="G262" i="13"/>
  <c r="I262" i="13"/>
  <c r="G77" i="13"/>
  <c r="I77" i="13"/>
  <c r="G572" i="13"/>
  <c r="I572" i="13"/>
  <c r="G209" i="13"/>
  <c r="I209" i="13"/>
  <c r="G553" i="13"/>
  <c r="I553" i="13"/>
  <c r="G50" i="13"/>
  <c r="I50" i="13"/>
  <c r="G233" i="13"/>
  <c r="I233" i="13"/>
  <c r="G512" i="13"/>
  <c r="I512" i="13"/>
  <c r="G155" i="13"/>
  <c r="I155" i="13"/>
  <c r="G472" i="13"/>
  <c r="I472" i="13"/>
  <c r="G471" i="13"/>
  <c r="I471" i="13"/>
  <c r="G405" i="13"/>
  <c r="I405" i="13"/>
  <c r="I346" i="13"/>
  <c r="G346" i="13"/>
  <c r="G69" i="13"/>
  <c r="I69" i="13"/>
  <c r="G76" i="13"/>
  <c r="I76" i="13"/>
  <c r="G352" i="13"/>
  <c r="I352" i="13"/>
  <c r="I361" i="13"/>
  <c r="G361" i="13"/>
  <c r="G311" i="13"/>
  <c r="I311" i="13"/>
  <c r="G498" i="13"/>
  <c r="I498" i="13"/>
  <c r="G501" i="13"/>
  <c r="I501" i="13"/>
  <c r="G85" i="13"/>
  <c r="I85" i="13"/>
  <c r="G268" i="13"/>
  <c r="I268" i="13"/>
  <c r="I280" i="13"/>
  <c r="G280" i="13"/>
  <c r="G21" i="13"/>
  <c r="I21" i="13"/>
  <c r="G62" i="13"/>
  <c r="I62" i="13"/>
  <c r="G72" i="13"/>
  <c r="I72" i="13"/>
  <c r="G18" i="13"/>
  <c r="I18" i="13"/>
  <c r="G47" i="13"/>
  <c r="I47" i="13"/>
  <c r="G173" i="13"/>
  <c r="I173" i="13"/>
  <c r="I116" i="13"/>
  <c r="G116" i="13"/>
  <c r="G78" i="13"/>
  <c r="I78" i="13"/>
  <c r="I382" i="13"/>
  <c r="G382" i="13"/>
  <c r="G61" i="13"/>
  <c r="I61" i="13"/>
  <c r="I260" i="13"/>
  <c r="G260" i="13"/>
  <c r="G556" i="13"/>
  <c r="I556" i="13"/>
  <c r="G97" i="13"/>
  <c r="I97" i="13"/>
  <c r="I394" i="13"/>
  <c r="G394" i="13"/>
  <c r="G143" i="13"/>
  <c r="I143" i="13"/>
  <c r="G17" i="13"/>
  <c r="I17" i="13"/>
  <c r="G109" i="13"/>
  <c r="I109" i="13"/>
  <c r="G256" i="13"/>
  <c r="I256" i="13"/>
  <c r="G367" i="13"/>
  <c r="I367" i="13"/>
  <c r="G518" i="13"/>
  <c r="I518" i="13"/>
  <c r="G13" i="13"/>
  <c r="I13" i="13"/>
  <c r="I170" i="13"/>
  <c r="G170" i="13"/>
  <c r="G486" i="13"/>
  <c r="I486" i="13"/>
  <c r="G177" i="13"/>
  <c r="I177" i="13"/>
  <c r="G158" i="13"/>
  <c r="I158" i="13"/>
  <c r="G290" i="13"/>
  <c r="I290" i="13"/>
  <c r="G210" i="13"/>
  <c r="I210" i="13"/>
  <c r="G229" i="13"/>
  <c r="I229" i="13"/>
  <c r="G443" i="13"/>
  <c r="I443" i="13"/>
  <c r="G272" i="13"/>
  <c r="I272" i="13"/>
  <c r="G204" i="13"/>
  <c r="I204" i="13"/>
  <c r="G10" i="13"/>
  <c r="I10" i="13"/>
  <c r="G22" i="13"/>
  <c r="I22" i="13"/>
  <c r="G83" i="13"/>
  <c r="I83" i="13"/>
  <c r="I372" i="13"/>
  <c r="G372" i="13"/>
  <c r="G520" i="13"/>
  <c r="I520" i="13"/>
  <c r="G479" i="13"/>
  <c r="I479" i="13"/>
  <c r="I38" i="13"/>
  <c r="G38" i="13"/>
  <c r="G550" i="13"/>
  <c r="I550" i="13"/>
  <c r="G338" i="13"/>
  <c r="I338" i="13"/>
  <c r="I79" i="13"/>
  <c r="G79" i="13"/>
  <c r="I297" i="13"/>
  <c r="G297" i="13"/>
  <c r="I241" i="13"/>
  <c r="G241" i="13"/>
  <c r="G464" i="13"/>
  <c r="I464" i="13"/>
  <c r="I403" i="13"/>
  <c r="G403" i="13"/>
  <c r="G145" i="13"/>
  <c r="I145" i="13"/>
  <c r="G156" i="13"/>
  <c r="I156" i="13"/>
  <c r="G125" i="13"/>
  <c r="I125" i="13"/>
  <c r="G178" i="13"/>
  <c r="I178" i="13"/>
  <c r="G252" i="13"/>
  <c r="I252" i="13"/>
  <c r="I90" i="13"/>
  <c r="G90" i="13"/>
  <c r="I111" i="13"/>
  <c r="G111" i="13"/>
  <c r="G197" i="13"/>
  <c r="I197" i="13"/>
  <c r="G191" i="13"/>
  <c r="I191" i="13"/>
  <c r="G413" i="13"/>
  <c r="I413" i="13"/>
  <c r="G192" i="13"/>
  <c r="I192" i="13"/>
  <c r="G598" i="13"/>
  <c r="I598" i="13"/>
  <c r="G75" i="13"/>
  <c r="I75" i="13"/>
  <c r="G558" i="13"/>
  <c r="I558" i="13"/>
  <c r="G455" i="13"/>
  <c r="I455" i="13"/>
  <c r="I194" i="13"/>
  <c r="G194" i="13"/>
  <c r="G325" i="13"/>
  <c r="I325" i="13"/>
  <c r="G504" i="13"/>
  <c r="I504" i="13"/>
  <c r="G439" i="13"/>
  <c r="I439" i="13"/>
  <c r="G419" i="13"/>
  <c r="I419" i="13"/>
  <c r="G424" i="13"/>
  <c r="I424" i="13"/>
  <c r="G539" i="13"/>
  <c r="I539" i="13"/>
  <c r="G447" i="13"/>
  <c r="I447" i="13"/>
  <c r="G435" i="13"/>
  <c r="I435" i="13"/>
  <c r="I451" i="13"/>
  <c r="G451" i="13"/>
  <c r="G395" i="13"/>
  <c r="I395" i="13"/>
  <c r="G220" i="13"/>
  <c r="I220" i="13"/>
  <c r="I317" i="13"/>
  <c r="G317" i="13"/>
  <c r="G322" i="13"/>
  <c r="I322" i="13"/>
  <c r="G195" i="13"/>
  <c r="I195" i="13"/>
  <c r="G94" i="13"/>
  <c r="I94" i="13"/>
  <c r="G134" i="13"/>
  <c r="I134" i="13"/>
  <c r="G393" i="13"/>
  <c r="I393" i="13"/>
  <c r="G187" i="13"/>
  <c r="I187" i="13"/>
  <c r="I529" i="13"/>
  <c r="G529" i="13"/>
  <c r="G533" i="13"/>
  <c r="I533" i="13"/>
  <c r="G570" i="13"/>
  <c r="I570" i="13"/>
  <c r="G43" i="13"/>
  <c r="I43" i="13"/>
  <c r="I157" i="13"/>
  <c r="G157" i="13"/>
  <c r="G310" i="13"/>
  <c r="I310" i="13"/>
  <c r="G431" i="13"/>
  <c r="I431" i="13"/>
  <c r="G499" i="13"/>
  <c r="I499" i="13"/>
  <c r="G364" i="13"/>
  <c r="I364" i="13"/>
  <c r="G353" i="13"/>
  <c r="I353" i="13"/>
  <c r="G186" i="13"/>
  <c r="I186" i="13"/>
  <c r="G255" i="13"/>
  <c r="I255" i="13"/>
  <c r="G381" i="13"/>
  <c r="I381" i="13"/>
  <c r="G594" i="13"/>
  <c r="I594" i="13"/>
  <c r="G171" i="13"/>
  <c r="I171" i="13"/>
  <c r="I283" i="13"/>
  <c r="G283" i="13"/>
  <c r="G850" i="13"/>
  <c r="I850" i="13"/>
  <c r="G832" i="13"/>
  <c r="I832" i="13"/>
  <c r="G816" i="13"/>
  <c r="I816" i="13"/>
  <c r="G804" i="13"/>
  <c r="I804" i="13"/>
  <c r="G788" i="13"/>
  <c r="I788" i="13"/>
  <c r="G843" i="13"/>
  <c r="I843" i="13"/>
  <c r="G831" i="13"/>
  <c r="I831" i="13"/>
  <c r="G847" i="13"/>
  <c r="I847" i="13"/>
  <c r="G853" i="13"/>
  <c r="I853" i="13"/>
  <c r="G834" i="13"/>
  <c r="I834" i="13"/>
  <c r="G826" i="13"/>
  <c r="I826" i="13"/>
  <c r="G822" i="13"/>
  <c r="I822" i="13"/>
  <c r="I810" i="13"/>
  <c r="G810" i="13"/>
  <c r="G802" i="13"/>
  <c r="I802" i="13"/>
  <c r="G794" i="13"/>
  <c r="I794" i="13"/>
  <c r="G790" i="13"/>
  <c r="I790" i="13"/>
  <c r="G778" i="13"/>
  <c r="I778" i="13"/>
  <c r="G770" i="13"/>
  <c r="I770" i="13"/>
  <c r="G762" i="13"/>
  <c r="I762" i="13"/>
  <c r="G758" i="13"/>
  <c r="I758" i="13"/>
  <c r="I750" i="13"/>
  <c r="G750" i="13"/>
  <c r="G738" i="13"/>
  <c r="I738" i="13"/>
  <c r="G730" i="13"/>
  <c r="I730" i="13"/>
  <c r="G722" i="13"/>
  <c r="I722" i="13"/>
  <c r="G718" i="13"/>
  <c r="I718" i="13"/>
  <c r="G710" i="13"/>
  <c r="I710" i="13"/>
  <c r="I702" i="13"/>
  <c r="G702" i="13"/>
  <c r="G694" i="13"/>
  <c r="I694" i="13"/>
  <c r="G686" i="13"/>
  <c r="I686" i="13"/>
  <c r="G678" i="13"/>
  <c r="I678" i="13"/>
  <c r="I670" i="13"/>
  <c r="G670" i="13"/>
  <c r="G662" i="13"/>
  <c r="I662" i="13"/>
  <c r="G654" i="13"/>
  <c r="I654" i="13"/>
  <c r="G646" i="13"/>
  <c r="I646" i="13"/>
  <c r="I638" i="13"/>
  <c r="G638" i="13"/>
  <c r="G630" i="13"/>
  <c r="I630" i="13"/>
  <c r="I851" i="13"/>
  <c r="G851" i="13"/>
  <c r="G844" i="13"/>
  <c r="I844" i="13"/>
  <c r="G841" i="13"/>
  <c r="I841" i="13"/>
  <c r="G837" i="13"/>
  <c r="I837" i="13"/>
  <c r="G833" i="13"/>
  <c r="I833" i="13"/>
  <c r="G829" i="13"/>
  <c r="I829" i="13"/>
  <c r="G825" i="13"/>
  <c r="I825" i="13"/>
  <c r="G821" i="13"/>
  <c r="I821" i="13"/>
  <c r="I817" i="13"/>
  <c r="G817" i="13"/>
  <c r="G813" i="13"/>
  <c r="I813" i="13"/>
  <c r="G809" i="13"/>
  <c r="I809" i="13"/>
  <c r="G805" i="13"/>
  <c r="I805" i="13"/>
  <c r="G801" i="13"/>
  <c r="I801" i="13"/>
  <c r="G797" i="13"/>
  <c r="I797" i="13"/>
  <c r="G793" i="13"/>
  <c r="I793" i="13"/>
  <c r="G789" i="13"/>
  <c r="I789" i="13"/>
  <c r="G785" i="13"/>
  <c r="I785" i="13"/>
  <c r="G781" i="13"/>
  <c r="I781" i="13"/>
  <c r="G777" i="13"/>
  <c r="I777" i="13"/>
  <c r="I773" i="13"/>
  <c r="G773" i="13"/>
  <c r="G769" i="13"/>
  <c r="I769" i="13"/>
  <c r="G765" i="13"/>
  <c r="I765" i="13"/>
  <c r="I761" i="13"/>
  <c r="G761" i="13"/>
  <c r="G757" i="13"/>
  <c r="I757" i="13"/>
  <c r="G753" i="13"/>
  <c r="I753" i="13"/>
  <c r="G749" i="13"/>
  <c r="I749" i="13"/>
  <c r="I745" i="13"/>
  <c r="G745" i="13"/>
  <c r="G741" i="13"/>
  <c r="I741" i="13"/>
  <c r="G737" i="13"/>
  <c r="I737" i="13"/>
  <c r="I733" i="13"/>
  <c r="G733" i="13"/>
  <c r="I729" i="13"/>
  <c r="G729" i="13"/>
  <c r="G725" i="13"/>
  <c r="I725" i="13"/>
  <c r="I721" i="13"/>
  <c r="G721" i="13"/>
  <c r="G717" i="13"/>
  <c r="I717" i="13"/>
  <c r="I713" i="13"/>
  <c r="G713" i="13"/>
  <c r="G709" i="13"/>
  <c r="I709" i="13"/>
  <c r="G705" i="13"/>
  <c r="I705" i="13"/>
  <c r="G701" i="13"/>
  <c r="I701" i="13"/>
  <c r="I697" i="13"/>
  <c r="G697" i="13"/>
  <c r="G693" i="13"/>
  <c r="I693" i="13"/>
  <c r="G689" i="13"/>
  <c r="I689" i="13"/>
  <c r="G685" i="13"/>
  <c r="I685" i="13"/>
  <c r="I681" i="13"/>
  <c r="G681" i="13"/>
  <c r="G677" i="13"/>
  <c r="I677" i="13"/>
  <c r="G673" i="13"/>
  <c r="I673" i="13"/>
  <c r="G669" i="13"/>
  <c r="I669" i="13"/>
  <c r="I665" i="13"/>
  <c r="G665" i="13"/>
  <c r="G661" i="13"/>
  <c r="I661" i="13"/>
  <c r="I657" i="13"/>
  <c r="G657" i="13"/>
  <c r="G653" i="13"/>
  <c r="I653" i="13"/>
  <c r="I649" i="13"/>
  <c r="G649" i="13"/>
  <c r="G645" i="13"/>
  <c r="I645" i="13"/>
  <c r="G641" i="13"/>
  <c r="I641" i="13"/>
  <c r="G637" i="13"/>
  <c r="I637" i="13"/>
  <c r="I633" i="13"/>
  <c r="G633" i="13"/>
  <c r="G629" i="13"/>
  <c r="I629" i="13"/>
  <c r="I625" i="13"/>
  <c r="G625" i="13"/>
  <c r="G621" i="13"/>
  <c r="I621" i="13"/>
  <c r="I617" i="13"/>
  <c r="G617" i="13"/>
  <c r="G613" i="13"/>
  <c r="I613" i="13"/>
  <c r="G609" i="13"/>
  <c r="I609" i="13"/>
  <c r="G605" i="13"/>
  <c r="I605" i="13"/>
  <c r="G270" i="13"/>
  <c r="I270" i="13"/>
  <c r="G602" i="13"/>
  <c r="I602" i="13"/>
  <c r="I53" i="13"/>
  <c r="G53" i="13"/>
  <c r="G425" i="13"/>
  <c r="I425" i="13"/>
  <c r="G64" i="13"/>
  <c r="I64" i="13"/>
  <c r="G153" i="13"/>
  <c r="I153" i="13"/>
  <c r="G234" i="13"/>
  <c r="I234" i="13"/>
  <c r="I230" i="13"/>
  <c r="G230" i="13"/>
  <c r="G494" i="13"/>
  <c r="I494" i="13"/>
  <c r="G549" i="13"/>
  <c r="I549" i="13"/>
  <c r="G531" i="13"/>
  <c r="I531" i="13"/>
  <c r="I190" i="13"/>
  <c r="G190" i="13"/>
  <c r="G33" i="13"/>
  <c r="I33" i="13"/>
  <c r="G11" i="13"/>
  <c r="I11" i="13"/>
  <c r="G239" i="13"/>
  <c r="I239" i="13"/>
  <c r="G101" i="13"/>
  <c r="I101" i="13"/>
  <c r="G348" i="13"/>
  <c r="I348" i="13"/>
  <c r="G388" i="13"/>
  <c r="I388" i="13"/>
  <c r="G95" i="13"/>
  <c r="I95" i="13"/>
  <c r="G589" i="13"/>
  <c r="I589" i="13"/>
  <c r="G534" i="13"/>
  <c r="I534" i="13"/>
  <c r="I474" i="13"/>
  <c r="G474" i="13"/>
  <c r="I495" i="13"/>
  <c r="G495" i="13"/>
  <c r="G333" i="13"/>
  <c r="I333" i="13"/>
  <c r="G480" i="13"/>
  <c r="I480" i="13"/>
  <c r="I490" i="13"/>
  <c r="G490" i="13"/>
  <c r="G154" i="13"/>
  <c r="I154" i="13"/>
  <c r="G400" i="13"/>
  <c r="I400" i="13"/>
  <c r="I340" i="13"/>
  <c r="G340" i="13"/>
  <c r="G205" i="13"/>
  <c r="I205" i="13"/>
  <c r="I420" i="13"/>
  <c r="G420" i="13"/>
  <c r="I51" i="13"/>
  <c r="G51" i="13"/>
  <c r="G555" i="13"/>
  <c r="I555" i="13"/>
  <c r="G560" i="13"/>
  <c r="I560" i="13"/>
  <c r="I600" i="13"/>
  <c r="G600" i="13"/>
  <c r="G462" i="13"/>
  <c r="I462" i="13"/>
  <c r="G214" i="13"/>
  <c r="I214" i="13"/>
  <c r="G141" i="13"/>
  <c r="I141" i="13"/>
  <c r="I574" i="13"/>
  <c r="G574" i="13"/>
  <c r="G130" i="13"/>
  <c r="I130" i="13"/>
  <c r="G459" i="13"/>
  <c r="I459" i="13"/>
  <c r="G390" i="13"/>
  <c r="I390" i="13"/>
  <c r="I362" i="13"/>
  <c r="G362" i="13"/>
  <c r="G184" i="13"/>
  <c r="I184" i="13"/>
  <c r="G218" i="13"/>
  <c r="I218" i="13"/>
  <c r="G564" i="13"/>
  <c r="I564" i="13"/>
  <c r="G429" i="13"/>
  <c r="I429" i="13"/>
  <c r="G133" i="13"/>
  <c r="I133" i="13"/>
  <c r="G216" i="13"/>
  <c r="I216" i="13"/>
  <c r="G517" i="13"/>
  <c r="I517" i="13"/>
  <c r="G71" i="13"/>
  <c r="I71" i="13"/>
  <c r="G427" i="13"/>
  <c r="I427" i="13"/>
  <c r="G167" i="13"/>
  <c r="I167" i="13"/>
  <c r="G269" i="13"/>
  <c r="I269" i="13"/>
  <c r="G347" i="13"/>
  <c r="I347" i="13"/>
  <c r="G540" i="13"/>
  <c r="I540" i="13"/>
  <c r="G42" i="13"/>
  <c r="I42" i="13"/>
  <c r="G535" i="13"/>
  <c r="I535" i="13"/>
  <c r="I215" i="13"/>
  <c r="G215" i="13"/>
  <c r="G528" i="13"/>
  <c r="I528" i="13"/>
  <c r="G467" i="13"/>
  <c r="I467" i="13"/>
  <c r="G430" i="13"/>
  <c r="I430" i="13"/>
  <c r="G546" i="13"/>
  <c r="I546" i="13"/>
  <c r="G596" i="13"/>
  <c r="I596" i="13"/>
  <c r="I123" i="13"/>
  <c r="G123" i="13"/>
  <c r="G559" i="13"/>
  <c r="I559" i="13"/>
  <c r="G360" i="13"/>
  <c r="I360" i="13"/>
  <c r="G476" i="13"/>
  <c r="I476" i="13"/>
  <c r="G28" i="13"/>
  <c r="I28" i="13"/>
  <c r="G166" i="13"/>
  <c r="I166" i="13"/>
  <c r="I139" i="13"/>
  <c r="G139" i="13"/>
  <c r="G492" i="13"/>
  <c r="I492" i="13"/>
  <c r="G496" i="13"/>
  <c r="I496" i="13"/>
  <c r="G289" i="13"/>
  <c r="I289" i="13"/>
  <c r="G87" i="13"/>
  <c r="I87" i="13"/>
  <c r="G213" i="13"/>
  <c r="I213" i="13"/>
  <c r="G392" i="13"/>
  <c r="I392" i="13"/>
  <c r="G380" i="13"/>
  <c r="I380" i="13"/>
  <c r="G274" i="13"/>
  <c r="I274" i="13"/>
  <c r="G6" i="13"/>
  <c r="I6" i="13"/>
  <c r="G408" i="13"/>
  <c r="I408" i="13"/>
  <c r="G415" i="13"/>
  <c r="I415" i="13"/>
  <c r="G142" i="13"/>
  <c r="I142" i="13"/>
  <c r="I203" i="13"/>
  <c r="G203" i="13"/>
  <c r="G588" i="13"/>
  <c r="I588" i="13"/>
  <c r="G417" i="13"/>
  <c r="I417" i="13"/>
  <c r="G7" i="13"/>
  <c r="I7" i="13"/>
  <c r="I355" i="13"/>
  <c r="G355" i="13"/>
  <c r="G237" i="13"/>
  <c r="I237" i="13"/>
  <c r="G434" i="13"/>
  <c r="I434" i="13"/>
  <c r="G438" i="13"/>
  <c r="I438" i="13"/>
  <c r="G236" i="13"/>
  <c r="I236" i="13"/>
  <c r="G282" i="13"/>
  <c r="I282" i="13"/>
  <c r="G444" i="13"/>
  <c r="I444" i="13"/>
  <c r="G332" i="13"/>
  <c r="I332" i="13"/>
  <c r="G315" i="13"/>
  <c r="I315" i="13"/>
  <c r="G448" i="13"/>
  <c r="I448" i="13"/>
  <c r="G29" i="13"/>
  <c r="I29" i="13"/>
  <c r="I351" i="13"/>
  <c r="G351" i="13"/>
  <c r="G132" i="13"/>
  <c r="I132" i="13"/>
  <c r="G182" i="13"/>
  <c r="I182" i="13"/>
  <c r="G102" i="13"/>
  <c r="I102" i="13"/>
  <c r="G163" i="13"/>
  <c r="I163" i="13"/>
  <c r="G278" i="13"/>
  <c r="I278" i="13"/>
  <c r="G261" i="13"/>
  <c r="I261" i="13"/>
  <c r="G271" i="13"/>
  <c r="I271" i="13"/>
  <c r="G169" i="13"/>
  <c r="I169" i="13"/>
  <c r="G461" i="13"/>
  <c r="I461" i="13"/>
  <c r="G577" i="13"/>
  <c r="I577" i="13"/>
  <c r="G339" i="13"/>
  <c r="I339" i="13"/>
  <c r="I106" i="13"/>
  <c r="G106" i="13"/>
  <c r="G73" i="13"/>
  <c r="I73" i="13"/>
  <c r="G402" i="13"/>
  <c r="I402" i="13"/>
  <c r="I225" i="13"/>
  <c r="G225" i="13"/>
  <c r="G312" i="13"/>
  <c r="I312" i="13"/>
  <c r="G301" i="13"/>
  <c r="I301" i="13"/>
  <c r="G575" i="13"/>
  <c r="I575" i="13"/>
  <c r="G422" i="13"/>
  <c r="I422" i="13"/>
  <c r="G146" i="13"/>
  <c r="I146" i="13"/>
  <c r="G267" i="13"/>
  <c r="I267" i="13"/>
  <c r="G342" i="13"/>
  <c r="I342" i="13"/>
  <c r="I569" i="13"/>
  <c r="G569" i="13"/>
  <c r="I200" i="13"/>
  <c r="G200" i="13"/>
  <c r="G302" i="13"/>
  <c r="I302" i="13"/>
  <c r="G591" i="13"/>
  <c r="I591" i="13"/>
  <c r="I276" i="13"/>
  <c r="G276" i="13"/>
  <c r="G137" i="13"/>
  <c r="I137" i="13"/>
  <c r="G292" i="13"/>
  <c r="I292" i="13"/>
  <c r="G363" i="13"/>
  <c r="I363" i="13"/>
  <c r="G265" i="13"/>
  <c r="I265" i="13"/>
  <c r="G93" i="13"/>
  <c r="I93" i="13"/>
  <c r="G110" i="13"/>
  <c r="I110" i="13"/>
  <c r="G475" i="13"/>
  <c r="I475" i="13"/>
  <c r="G543" i="13"/>
  <c r="I543" i="13"/>
  <c r="I554" i="13"/>
  <c r="G554" i="13"/>
  <c r="I446" i="13"/>
  <c r="G446" i="13"/>
  <c r="G46" i="13"/>
  <c r="I46" i="13"/>
  <c r="G107" i="13"/>
  <c r="I107" i="13"/>
  <c r="I366" i="13"/>
  <c r="G366" i="13"/>
  <c r="G482" i="13"/>
  <c r="I482" i="13"/>
  <c r="G376" i="13"/>
  <c r="I376" i="13"/>
  <c r="G562" i="13"/>
  <c r="I562" i="13"/>
  <c r="G566" i="13"/>
  <c r="I566" i="13"/>
  <c r="I379" i="13"/>
  <c r="G379" i="13"/>
  <c r="G526" i="13"/>
  <c r="I526" i="13"/>
  <c r="G487" i="13"/>
  <c r="I487" i="13"/>
  <c r="G583" i="13"/>
  <c r="I583" i="13"/>
  <c r="I250" i="13"/>
  <c r="G250" i="13"/>
  <c r="G428" i="13"/>
  <c r="I428" i="13"/>
  <c r="G432" i="13"/>
  <c r="I432" i="13"/>
  <c r="G846" i="13"/>
  <c r="I846" i="13"/>
  <c r="G836" i="13"/>
  <c r="I836" i="13"/>
  <c r="G824" i="13"/>
  <c r="I824" i="13"/>
  <c r="I808" i="13"/>
  <c r="G808" i="13"/>
  <c r="G796" i="13"/>
  <c r="I796" i="13"/>
  <c r="G780" i="13"/>
  <c r="I780" i="13"/>
  <c r="G776" i="13"/>
  <c r="I776" i="13"/>
  <c r="G772" i="13"/>
  <c r="I772" i="13"/>
  <c r="G768" i="13"/>
  <c r="I768" i="13"/>
  <c r="G764" i="13"/>
  <c r="I764" i="13"/>
  <c r="G760" i="13"/>
  <c r="I760" i="13"/>
  <c r="G756" i="13"/>
  <c r="I756" i="13"/>
  <c r="G752" i="13"/>
  <c r="I752" i="13"/>
  <c r="G748" i="13"/>
  <c r="I748" i="13"/>
  <c r="G744" i="13"/>
  <c r="I744" i="13"/>
  <c r="G740" i="13"/>
  <c r="I740" i="13"/>
  <c r="G736" i="13"/>
  <c r="I736" i="13"/>
  <c r="G732" i="13"/>
  <c r="I732" i="13"/>
  <c r="G728" i="13"/>
  <c r="I728" i="13"/>
  <c r="G724" i="13"/>
  <c r="I724" i="13"/>
  <c r="G720" i="13"/>
  <c r="I720" i="13"/>
  <c r="G716" i="13"/>
  <c r="I716" i="13"/>
  <c r="I712" i="13"/>
  <c r="G712" i="13"/>
  <c r="G708" i="13"/>
  <c r="I708" i="13"/>
  <c r="G704" i="13"/>
  <c r="I704" i="13"/>
  <c r="G700" i="13"/>
  <c r="I700" i="13"/>
  <c r="G696" i="13"/>
  <c r="I696" i="13"/>
  <c r="G692" i="13"/>
  <c r="I692" i="13"/>
  <c r="G688" i="13"/>
  <c r="I688" i="13"/>
  <c r="G684" i="13"/>
  <c r="I684" i="13"/>
  <c r="I680" i="13"/>
  <c r="G680" i="13"/>
  <c r="G676" i="13"/>
  <c r="I676" i="13"/>
  <c r="G672" i="13"/>
  <c r="I672" i="13"/>
  <c r="G668" i="13"/>
  <c r="I668" i="13"/>
  <c r="G664" i="13"/>
  <c r="I664" i="13"/>
  <c r="G660" i="13"/>
  <c r="I660" i="13"/>
  <c r="G656" i="13"/>
  <c r="I656" i="13"/>
  <c r="G652" i="13"/>
  <c r="I652" i="13"/>
  <c r="I648" i="13"/>
  <c r="G648" i="13"/>
  <c r="G644" i="13"/>
  <c r="I644" i="13"/>
  <c r="G640" i="13"/>
  <c r="I640" i="13"/>
  <c r="G636" i="13"/>
  <c r="I636" i="13"/>
  <c r="G632" i="13"/>
  <c r="I632" i="13"/>
  <c r="G628" i="13"/>
  <c r="I628" i="13"/>
  <c r="G624" i="13"/>
  <c r="I624" i="13"/>
  <c r="G620" i="13"/>
  <c r="I620" i="13"/>
  <c r="G616" i="13"/>
  <c r="I616" i="13"/>
  <c r="G612" i="13"/>
  <c r="I612" i="13"/>
  <c r="G608" i="13"/>
  <c r="I608" i="13"/>
  <c r="G604" i="13"/>
  <c r="I604" i="13"/>
  <c r="G552" i="13"/>
  <c r="I552" i="13"/>
  <c r="G144" i="13"/>
  <c r="I144" i="13"/>
  <c r="G196" i="13"/>
  <c r="I196" i="13"/>
  <c r="G423" i="13"/>
  <c r="I423" i="13"/>
  <c r="G151" i="13"/>
  <c r="I151" i="13"/>
  <c r="G105" i="13"/>
  <c r="I105" i="13"/>
  <c r="G82" i="13"/>
  <c r="I82" i="13"/>
  <c r="G115" i="13"/>
  <c r="I115" i="13"/>
  <c r="G224" i="13"/>
  <c r="I224" i="13"/>
  <c r="G149" i="13"/>
  <c r="I149" i="13"/>
  <c r="G418" i="13"/>
  <c r="I418" i="13"/>
  <c r="G176" i="13"/>
  <c r="I176" i="13"/>
  <c r="G161" i="13"/>
  <c r="I161" i="13"/>
  <c r="G238" i="13"/>
  <c r="I238" i="13"/>
  <c r="G329" i="13"/>
  <c r="I329" i="13"/>
  <c r="G437" i="13"/>
  <c r="I437" i="13"/>
  <c r="I377" i="13"/>
  <c r="G377" i="13"/>
  <c r="G334" i="13"/>
  <c r="I334" i="13"/>
  <c r="I150" i="13"/>
  <c r="G150" i="13"/>
  <c r="I489" i="13"/>
  <c r="G489" i="13"/>
  <c r="G284" i="13"/>
  <c r="I284" i="13"/>
  <c r="G288" i="13"/>
  <c r="I288" i="13"/>
  <c r="I41" i="13"/>
  <c r="G41" i="13"/>
  <c r="G23" i="13"/>
  <c r="I23" i="13"/>
  <c r="G242" i="13"/>
  <c r="I242" i="13"/>
  <c r="G305" i="13"/>
  <c r="I305" i="13"/>
  <c r="G16" i="13"/>
  <c r="I16" i="13"/>
  <c r="G573" i="13"/>
  <c r="I573" i="13"/>
  <c r="G300" i="13"/>
  <c r="I300" i="13"/>
  <c r="G118" i="13"/>
  <c r="I118" i="13"/>
  <c r="G587" i="13"/>
  <c r="I587" i="13"/>
  <c r="G287" i="13"/>
  <c r="I287" i="13"/>
  <c r="G585" i="13"/>
  <c r="I585" i="13"/>
  <c r="G477" i="13"/>
  <c r="I477" i="13"/>
  <c r="G40" i="13"/>
  <c r="I40" i="13"/>
  <c r="I80" i="13"/>
  <c r="G80" i="13"/>
  <c r="G397" i="13"/>
  <c r="I397" i="13"/>
  <c r="G513" i="13"/>
  <c r="I513" i="13"/>
  <c r="G386" i="13"/>
  <c r="I386" i="13"/>
  <c r="G54" i="13"/>
  <c r="I54" i="13"/>
  <c r="I24" i="13"/>
  <c r="G24" i="13"/>
  <c r="G277" i="13"/>
  <c r="I277" i="13"/>
  <c r="G523" i="13"/>
  <c r="I523" i="13"/>
  <c r="G231" i="13"/>
  <c r="I231" i="13"/>
  <c r="G441" i="13"/>
  <c r="I441" i="13"/>
  <c r="G350" i="13"/>
  <c r="I350" i="13"/>
  <c r="G356" i="13"/>
  <c r="I356" i="13"/>
  <c r="G326" i="13"/>
  <c r="I326" i="13"/>
  <c r="G228" i="13"/>
  <c r="I228" i="13"/>
  <c r="G206" i="13"/>
  <c r="I206" i="13"/>
  <c r="G164" i="13"/>
  <c r="I164" i="13"/>
  <c r="I308" i="13"/>
  <c r="G308" i="13"/>
  <c r="G232" i="13"/>
  <c r="I232" i="13"/>
  <c r="G466" i="13"/>
  <c r="I466" i="13"/>
  <c r="I245" i="13"/>
  <c r="G245" i="13"/>
  <c r="I70" i="13"/>
  <c r="G70" i="13"/>
  <c r="G544" i="13"/>
  <c r="I544" i="13"/>
  <c r="G454" i="13"/>
  <c r="I454" i="13"/>
  <c r="G84" i="13"/>
  <c r="I84" i="13"/>
  <c r="I414" i="13"/>
  <c r="G414" i="13"/>
  <c r="G511" i="13"/>
  <c r="I511" i="13"/>
  <c r="I44" i="13"/>
  <c r="G44" i="13"/>
  <c r="G114" i="13"/>
  <c r="I114" i="13"/>
  <c r="G481" i="13"/>
  <c r="I481" i="13"/>
  <c r="G309" i="13"/>
  <c r="I309" i="13"/>
  <c r="G126" i="13"/>
  <c r="I126" i="13"/>
  <c r="G565" i="13"/>
  <c r="I565" i="13"/>
  <c r="I505" i="13"/>
  <c r="G505" i="13"/>
  <c r="G525" i="13"/>
  <c r="I525" i="13"/>
  <c r="G354" i="13"/>
  <c r="I354" i="13"/>
  <c r="G113" i="13"/>
  <c r="I113" i="13"/>
  <c r="G521" i="13"/>
  <c r="I521" i="13"/>
  <c r="G117" i="13"/>
  <c r="I117" i="13"/>
  <c r="G98" i="13"/>
  <c r="I98" i="13"/>
  <c r="G180" i="13"/>
  <c r="I180" i="13"/>
  <c r="I593" i="13"/>
  <c r="G593" i="13"/>
  <c r="G597" i="13"/>
  <c r="I597" i="13"/>
  <c r="I410" i="13"/>
  <c r="G410" i="13"/>
  <c r="G557" i="13"/>
  <c r="I557" i="13"/>
  <c r="G582" i="13"/>
  <c r="I582" i="13"/>
  <c r="G321" i="13"/>
  <c r="I321" i="13"/>
  <c r="I108" i="13"/>
  <c r="G108" i="13"/>
  <c r="G148" i="13"/>
  <c r="I148" i="13"/>
  <c r="G208" i="13"/>
  <c r="I208" i="13"/>
  <c r="G515" i="13"/>
  <c r="I515" i="13"/>
  <c r="G12" i="13"/>
  <c r="I12" i="13"/>
  <c r="G165" i="13"/>
  <c r="I165" i="13"/>
  <c r="G503" i="13"/>
  <c r="I503" i="13"/>
  <c r="G453" i="13"/>
  <c r="I453" i="13"/>
  <c r="G45" i="13"/>
  <c r="I45" i="13"/>
  <c r="G92" i="13"/>
  <c r="I92" i="13"/>
  <c r="G373" i="13"/>
  <c r="I373" i="13"/>
  <c r="G595" i="13"/>
  <c r="I595" i="13"/>
  <c r="I473" i="13"/>
  <c r="G473" i="13"/>
  <c r="G547" i="13"/>
  <c r="I547" i="13"/>
  <c r="G359" i="13"/>
  <c r="I359" i="13"/>
  <c r="G35" i="13"/>
  <c r="I35" i="13"/>
  <c r="G530" i="13"/>
  <c r="I530" i="13"/>
  <c r="G563" i="13"/>
  <c r="I563" i="13"/>
  <c r="I266" i="13"/>
  <c r="G266" i="13"/>
  <c r="I401" i="13"/>
  <c r="G401" i="13"/>
  <c r="G406" i="13"/>
  <c r="I406" i="13"/>
  <c r="G399" i="13"/>
  <c r="I399" i="13"/>
  <c r="G484" i="13"/>
  <c r="I484" i="13"/>
  <c r="G279" i="13"/>
  <c r="I279" i="13"/>
  <c r="G445" i="13"/>
  <c r="I445" i="13"/>
  <c r="I368" i="13"/>
  <c r="G368" i="13"/>
  <c r="G387" i="13"/>
  <c r="I387" i="13"/>
  <c r="G324" i="13"/>
  <c r="I324" i="13"/>
  <c r="G508" i="13"/>
  <c r="I508" i="13"/>
  <c r="G211" i="13"/>
  <c r="I211" i="13"/>
  <c r="I561" i="13"/>
  <c r="G561" i="13"/>
  <c r="G91" i="13"/>
  <c r="I91" i="13"/>
  <c r="I202" i="13"/>
  <c r="G202" i="13"/>
  <c r="G147" i="13"/>
  <c r="I147" i="13"/>
  <c r="G55" i="13"/>
  <c r="I55" i="13"/>
  <c r="I88" i="13"/>
  <c r="G88" i="13"/>
  <c r="G316" i="13"/>
  <c r="I316" i="13"/>
  <c r="G244" i="13"/>
  <c r="I244" i="13"/>
  <c r="G580" i="13"/>
  <c r="I580" i="13"/>
  <c r="G136" i="13"/>
  <c r="I136" i="13"/>
  <c r="G188" i="13"/>
  <c r="I188" i="13"/>
  <c r="G335" i="13"/>
  <c r="I335" i="13"/>
  <c r="G275" i="13"/>
  <c r="I275" i="13"/>
  <c r="G295" i="13"/>
  <c r="I295" i="13"/>
  <c r="G412" i="13"/>
  <c r="I412" i="13"/>
  <c r="G411" i="13"/>
  <c r="I411" i="13"/>
  <c r="G407" i="13"/>
  <c r="I407" i="13"/>
  <c r="I207" i="13"/>
  <c r="G207" i="13"/>
  <c r="G8" i="13"/>
  <c r="I8" i="13"/>
  <c r="G396" i="13"/>
  <c r="I396" i="13"/>
  <c r="G253" i="13"/>
  <c r="I253" i="13"/>
  <c r="I240" i="13"/>
  <c r="G240" i="13"/>
  <c r="G235" i="13"/>
  <c r="I235" i="13"/>
  <c r="I160" i="13"/>
  <c r="G160" i="13"/>
  <c r="I25" i="13"/>
  <c r="G25" i="13"/>
  <c r="I27" i="13"/>
  <c r="G27" i="13"/>
  <c r="I497" i="13"/>
  <c r="G497" i="13"/>
  <c r="G578" i="13"/>
  <c r="I578" i="13"/>
  <c r="G67" i="13"/>
  <c r="I67" i="13"/>
  <c r="G581" i="13"/>
  <c r="I581" i="13"/>
  <c r="G179" i="13"/>
  <c r="I179" i="13"/>
  <c r="G542" i="13"/>
  <c r="I542" i="13"/>
  <c r="G223" i="13"/>
  <c r="I223" i="13"/>
  <c r="I122" i="13"/>
  <c r="G122" i="13"/>
  <c r="I121" i="13"/>
  <c r="G121" i="13"/>
  <c r="G57" i="13"/>
  <c r="I57" i="13"/>
  <c r="G74" i="13"/>
  <c r="I74" i="13"/>
  <c r="G457" i="13"/>
  <c r="I457" i="13"/>
  <c r="G603" i="13"/>
  <c r="I603" i="13"/>
  <c r="I852" i="13"/>
  <c r="G849" i="13"/>
  <c r="I849" i="13"/>
  <c r="I848" i="13"/>
  <c r="G848" i="13"/>
  <c r="G828" i="13"/>
  <c r="I828" i="13"/>
  <c r="G812" i="13"/>
  <c r="I812" i="13"/>
  <c r="G792" i="13"/>
  <c r="I792" i="13"/>
  <c r="G845" i="13"/>
  <c r="I845" i="13"/>
  <c r="G835" i="13"/>
  <c r="I835" i="13"/>
  <c r="G823" i="13"/>
  <c r="I823" i="13"/>
  <c r="G819" i="13"/>
  <c r="I819" i="13"/>
  <c r="G815" i="13"/>
  <c r="I815" i="13"/>
  <c r="G811" i="13"/>
  <c r="I811" i="13"/>
  <c r="G807" i="13"/>
  <c r="I807" i="13"/>
  <c r="G803" i="13"/>
  <c r="I803" i="13"/>
  <c r="G799" i="13"/>
  <c r="I799" i="13"/>
  <c r="G795" i="13"/>
  <c r="I795" i="13"/>
  <c r="G791" i="13"/>
  <c r="I791" i="13"/>
  <c r="G787" i="13"/>
  <c r="I787" i="13"/>
  <c r="G783" i="13"/>
  <c r="I783" i="13"/>
  <c r="G779" i="13"/>
  <c r="I779" i="13"/>
  <c r="G775" i="13"/>
  <c r="I775" i="13"/>
  <c r="G771" i="13"/>
  <c r="I771" i="13"/>
  <c r="G767" i="13"/>
  <c r="I767" i="13"/>
  <c r="G763" i="13"/>
  <c r="I763" i="13"/>
  <c r="G759" i="13"/>
  <c r="I759" i="13"/>
  <c r="G755" i="13"/>
  <c r="I755" i="13"/>
  <c r="G751" i="13"/>
  <c r="I751" i="13"/>
  <c r="G747" i="13"/>
  <c r="I747" i="13"/>
  <c r="G743" i="13"/>
  <c r="I743" i="13"/>
  <c r="G739" i="13"/>
  <c r="I739" i="13"/>
  <c r="G735" i="13"/>
  <c r="I735" i="13"/>
  <c r="G731" i="13"/>
  <c r="I731" i="13"/>
  <c r="G727" i="13"/>
  <c r="I727" i="13"/>
  <c r="G723" i="13"/>
  <c r="I723" i="13"/>
  <c r="G719" i="13"/>
  <c r="I719" i="13"/>
  <c r="G715" i="13"/>
  <c r="I715" i="13"/>
  <c r="G711" i="13"/>
  <c r="I711" i="13"/>
  <c r="G707" i="13"/>
  <c r="I707" i="13"/>
  <c r="G703" i="13"/>
  <c r="I703" i="13"/>
  <c r="G699" i="13"/>
  <c r="I699" i="13"/>
  <c r="G695" i="13"/>
  <c r="I695" i="13"/>
  <c r="G691" i="13"/>
  <c r="I691" i="13"/>
  <c r="G687" i="13"/>
  <c r="I687" i="13"/>
  <c r="G683" i="13"/>
  <c r="I683" i="13"/>
  <c r="G679" i="13"/>
  <c r="I679" i="13"/>
  <c r="G675" i="13"/>
  <c r="I675" i="13"/>
  <c r="G671" i="13"/>
  <c r="I671" i="13"/>
  <c r="G667" i="13"/>
  <c r="I667" i="13"/>
  <c r="G663" i="13"/>
  <c r="I663" i="13"/>
  <c r="G659" i="13"/>
  <c r="I659" i="13"/>
  <c r="G655" i="13"/>
  <c r="I655" i="13"/>
  <c r="G651" i="13"/>
  <c r="I651" i="13"/>
  <c r="G647" i="13"/>
  <c r="I647" i="13"/>
  <c r="G643" i="13"/>
  <c r="I643" i="13"/>
  <c r="G639" i="13"/>
  <c r="I639" i="13"/>
  <c r="G635" i="13"/>
  <c r="I635" i="13"/>
  <c r="G631" i="13"/>
  <c r="I631" i="13"/>
  <c r="G627" i="13"/>
  <c r="I627" i="13"/>
  <c r="G623" i="13"/>
  <c r="I623" i="13"/>
  <c r="G619" i="13"/>
  <c r="I619" i="13"/>
  <c r="G615" i="13"/>
  <c r="I615" i="13"/>
  <c r="G611" i="13"/>
  <c r="I611" i="13"/>
  <c r="G607" i="13"/>
  <c r="I607" i="13"/>
  <c r="G491" i="13"/>
  <c r="I491" i="13"/>
  <c r="I286" i="13"/>
  <c r="G286" i="13"/>
  <c r="G592" i="13"/>
  <c r="I592" i="13"/>
  <c r="G532" i="13"/>
  <c r="I532" i="13"/>
  <c r="G551" i="13"/>
  <c r="I551" i="13"/>
  <c r="G385" i="13"/>
  <c r="I385" i="13"/>
  <c r="G306" i="13"/>
  <c r="I306" i="13"/>
  <c r="I548" i="13"/>
  <c r="G548" i="13"/>
  <c r="G112" i="13"/>
  <c r="I112" i="13"/>
  <c r="G104" i="13"/>
  <c r="I104" i="13"/>
  <c r="G212" i="13"/>
  <c r="I212" i="13"/>
  <c r="I442" i="13"/>
  <c r="G442" i="13"/>
  <c r="G590" i="13"/>
  <c r="I590" i="13"/>
  <c r="G579" i="13"/>
  <c r="I579" i="13"/>
  <c r="G421" i="13"/>
  <c r="I421" i="13"/>
  <c r="I389" i="13"/>
  <c r="G389" i="13"/>
  <c r="G328" i="13"/>
  <c r="I328" i="13"/>
  <c r="I337" i="13"/>
  <c r="G337" i="13"/>
  <c r="G307" i="13"/>
  <c r="I307" i="13"/>
  <c r="G456" i="13"/>
  <c r="I456" i="13"/>
  <c r="G257" i="13"/>
  <c r="I257" i="13"/>
  <c r="G285" i="13"/>
  <c r="I285" i="13"/>
  <c r="G375" i="13"/>
  <c r="I375" i="13"/>
  <c r="G181" i="13"/>
  <c r="I181" i="13"/>
  <c r="G246" i="13"/>
  <c r="I246" i="13"/>
  <c r="G201" i="13"/>
  <c r="I201" i="13"/>
  <c r="G263" i="13"/>
  <c r="I263" i="13"/>
  <c r="G536" i="13"/>
  <c r="I536" i="13"/>
  <c r="G500" i="13"/>
  <c r="I500" i="13"/>
  <c r="G567" i="13"/>
  <c r="I567" i="13"/>
  <c r="G124" i="13"/>
  <c r="I124" i="13"/>
  <c r="G30" i="13"/>
  <c r="I30" i="13"/>
  <c r="G26" i="13"/>
  <c r="I26" i="13"/>
  <c r="G96" i="13"/>
  <c r="I96" i="13"/>
  <c r="G404" i="13"/>
  <c r="I404" i="13"/>
  <c r="I273" i="13"/>
  <c r="G273" i="13"/>
  <c r="G524" i="13"/>
  <c r="I524" i="13"/>
  <c r="G318" i="13"/>
  <c r="I318" i="13"/>
  <c r="G538" i="13"/>
  <c r="I538" i="13"/>
  <c r="G100" i="13"/>
  <c r="I100" i="13"/>
  <c r="G20" i="13"/>
  <c r="I20" i="13"/>
  <c r="G99" i="13"/>
  <c r="I99" i="13"/>
  <c r="G293" i="13"/>
  <c r="I293" i="13"/>
  <c r="G488" i="13"/>
  <c r="I488" i="13"/>
  <c r="I314" i="13"/>
  <c r="G314" i="13"/>
  <c r="G358" i="13"/>
  <c r="I358" i="13"/>
  <c r="G264" i="13"/>
  <c r="I264" i="13"/>
  <c r="I172" i="13"/>
  <c r="G172" i="13"/>
  <c r="G336" i="13"/>
  <c r="I336" i="13"/>
  <c r="G341" i="13"/>
  <c r="I341" i="13"/>
  <c r="I436" i="13"/>
  <c r="G436" i="13"/>
  <c r="G584" i="13"/>
  <c r="I584" i="13"/>
  <c r="G514" i="13"/>
  <c r="I514" i="13"/>
  <c r="G357" i="13"/>
  <c r="I357" i="13"/>
  <c r="G138" i="13"/>
  <c r="I138" i="13"/>
  <c r="I168" i="13"/>
  <c r="G168" i="13"/>
  <c r="G258" i="13"/>
  <c r="I258" i="13"/>
  <c r="G222" i="13"/>
  <c r="I222" i="13"/>
  <c r="G60" i="13"/>
  <c r="I60" i="13"/>
  <c r="I304" i="13"/>
  <c r="G304" i="13"/>
  <c r="I217" i="13"/>
  <c r="G217" i="13"/>
  <c r="I586" i="13"/>
  <c r="G586" i="13"/>
  <c r="G189" i="13"/>
  <c r="I189" i="13"/>
  <c r="G103" i="13"/>
  <c r="I103" i="13"/>
  <c r="I506" i="13"/>
  <c r="G506" i="13"/>
  <c r="G378" i="13"/>
  <c r="I378" i="13"/>
  <c r="I516" i="13"/>
  <c r="G516" i="13"/>
  <c r="G36" i="13"/>
  <c r="I36" i="13"/>
  <c r="G131" i="13"/>
  <c r="I131" i="13"/>
  <c r="G452" i="13"/>
  <c r="I452" i="13"/>
  <c r="G391" i="13"/>
  <c r="I391" i="13"/>
  <c r="G199" i="13"/>
  <c r="I199" i="13"/>
  <c r="G174" i="13"/>
  <c r="I174" i="13"/>
  <c r="G39" i="13"/>
  <c r="I39" i="13"/>
  <c r="G601" i="13"/>
  <c r="I601" i="13"/>
  <c r="I135" i="13"/>
  <c r="G135" i="13"/>
  <c r="G343" i="13"/>
  <c r="I343" i="13"/>
  <c r="G568" i="13"/>
  <c r="I568" i="13"/>
  <c r="G599" i="13"/>
  <c r="I599" i="13"/>
  <c r="G483" i="13"/>
  <c r="I483" i="13"/>
  <c r="I37" i="13"/>
  <c r="G37" i="13"/>
  <c r="G32" i="13"/>
  <c r="I32" i="13"/>
  <c r="G66" i="13"/>
  <c r="I66" i="13"/>
  <c r="I485" i="13"/>
  <c r="G485" i="13"/>
  <c r="I458" i="13"/>
  <c r="G458" i="13"/>
  <c r="G247" i="13"/>
  <c r="I247" i="13"/>
  <c r="I58" i="13"/>
  <c r="G58" i="13"/>
  <c r="G249" i="13"/>
  <c r="I249" i="13"/>
  <c r="G15" i="13"/>
  <c r="I15" i="13"/>
  <c r="G183" i="13"/>
  <c r="I183" i="13"/>
  <c r="I162" i="13"/>
  <c r="G162" i="13"/>
  <c r="G319" i="13"/>
  <c r="I319" i="13"/>
  <c r="I541" i="13"/>
  <c r="G541" i="13"/>
  <c r="G349" i="13"/>
  <c r="I349" i="13"/>
  <c r="I5" i="13"/>
  <c r="G5" i="13"/>
  <c r="I510" i="13"/>
  <c r="G510" i="13"/>
  <c r="G49" i="13"/>
  <c r="I49" i="13"/>
  <c r="G120" i="13"/>
  <c r="I120" i="13"/>
  <c r="I313" i="13"/>
  <c r="G313" i="13"/>
  <c r="G226" i="13"/>
  <c r="I226" i="13"/>
  <c r="G416" i="13"/>
  <c r="I416" i="13"/>
  <c r="I426" i="13"/>
  <c r="G426" i="13"/>
  <c r="G460" i="13"/>
  <c r="I460" i="13"/>
  <c r="G281" i="13"/>
  <c r="I281" i="13"/>
  <c r="G48" i="13"/>
  <c r="I48" i="13"/>
  <c r="G571" i="13"/>
  <c r="I571" i="13"/>
  <c r="G371" i="13"/>
  <c r="I371" i="13"/>
  <c r="G327" i="13"/>
  <c r="I327" i="13"/>
  <c r="G175" i="13"/>
  <c r="I175" i="13"/>
  <c r="I31" i="13"/>
  <c r="G31" i="13"/>
  <c r="I537" i="13"/>
  <c r="G537" i="13"/>
  <c r="G398" i="13"/>
  <c r="I398" i="13"/>
  <c r="G320" i="13"/>
  <c r="I320" i="13"/>
  <c r="I227" i="13"/>
  <c r="G227" i="13"/>
  <c r="G119" i="13"/>
  <c r="I119" i="13"/>
  <c r="I185" i="13"/>
  <c r="G185" i="13"/>
  <c r="G299" i="13"/>
  <c r="I299" i="13"/>
  <c r="G303" i="13"/>
  <c r="I303" i="13"/>
  <c r="I345" i="13"/>
  <c r="G345" i="13"/>
  <c r="G493" i="13"/>
  <c r="I493" i="13"/>
  <c r="G383" i="13"/>
  <c r="I383" i="13"/>
  <c r="G68" i="13"/>
  <c r="I68" i="13"/>
  <c r="I4" i="13"/>
  <c r="G4" i="13"/>
  <c r="G509" i="13"/>
  <c r="I509" i="13"/>
  <c r="G14" i="13"/>
  <c r="I14" i="13"/>
  <c r="G502" i="13"/>
  <c r="I502" i="13"/>
  <c r="I440" i="13"/>
  <c r="G440" i="13"/>
  <c r="I291" i="13"/>
  <c r="G291" i="13"/>
  <c r="I63" i="13"/>
  <c r="G63" i="13"/>
  <c r="G450" i="13"/>
  <c r="I450" i="13"/>
  <c r="G576" i="13"/>
  <c r="I576" i="13"/>
  <c r="I152" i="13"/>
  <c r="G152" i="13"/>
  <c r="G365" i="13"/>
  <c r="I365" i="13"/>
  <c r="G369" i="13"/>
  <c r="I369" i="13"/>
  <c r="G59" i="13"/>
  <c r="I59" i="13"/>
  <c r="I323" i="13"/>
  <c r="G323" i="13"/>
  <c r="G545" i="13"/>
  <c r="I545" i="13"/>
  <c r="G384" i="13"/>
  <c r="I384" i="13"/>
  <c r="I522" i="13"/>
  <c r="G522" i="13"/>
  <c r="G294" i="13"/>
  <c r="I294" i="13"/>
  <c r="G298" i="13"/>
  <c r="I298" i="13"/>
  <c r="G159" i="13"/>
  <c r="I159" i="13"/>
  <c r="G129" i="13"/>
  <c r="I129" i="13"/>
  <c r="G468" i="13"/>
  <c r="I468" i="13"/>
  <c r="I34" i="13"/>
  <c r="G34" i="13"/>
  <c r="G86" i="13"/>
  <c r="I86" i="13"/>
  <c r="G251" i="13"/>
  <c r="I251" i="13"/>
  <c r="G219" i="13"/>
  <c r="I219" i="13"/>
  <c r="G254" i="13"/>
  <c r="I254" i="13"/>
  <c r="G463" i="13"/>
  <c r="I463" i="13"/>
  <c r="I854" i="13"/>
  <c r="G854" i="13"/>
  <c r="I855" i="13"/>
  <c r="M3" i="13" l="1"/>
  <c r="X16" i="11" s="1"/>
  <c r="H657" i="13"/>
  <c r="H20" i="13"/>
  <c r="H172" i="13"/>
  <c r="H132" i="13"/>
  <c r="H275" i="13"/>
  <c r="H640" i="13"/>
  <c r="H147" i="13"/>
  <c r="H754" i="13"/>
  <c r="H622" i="13"/>
  <c r="H308" i="13"/>
  <c r="H531" i="13"/>
  <c r="H613" i="13"/>
  <c r="H641" i="13"/>
  <c r="H498" i="13"/>
  <c r="H4" i="13"/>
  <c r="H433" i="13"/>
  <c r="H157" i="13"/>
  <c r="H634" i="13"/>
  <c r="H665" i="13"/>
  <c r="H143" i="13"/>
  <c r="H606" i="13"/>
  <c r="H522" i="13"/>
  <c r="H547" i="13"/>
  <c r="H676" i="13"/>
  <c r="H516" i="13"/>
  <c r="H656" i="13"/>
  <c r="H511" i="13"/>
  <c r="H292" i="13"/>
  <c r="H649" i="13"/>
  <c r="H333" i="13"/>
  <c r="H323" i="13"/>
  <c r="H238" i="13"/>
  <c r="H562" i="13"/>
  <c r="H545" i="13"/>
  <c r="H307" i="13"/>
  <c r="H271" i="13"/>
  <c r="H569" i="13"/>
  <c r="H467" i="13"/>
  <c r="H421" i="13"/>
  <c r="H401" i="13"/>
  <c r="H77" i="13"/>
  <c r="H224" i="13"/>
  <c r="H163" i="13"/>
  <c r="H177" i="13"/>
  <c r="H83" i="13"/>
  <c r="H803" i="13"/>
  <c r="H261" i="13"/>
  <c r="H193" i="13"/>
  <c r="H828" i="13"/>
  <c r="H34" i="13"/>
  <c r="H733" i="13"/>
  <c r="H258" i="13"/>
  <c r="H357" i="13"/>
  <c r="H675" i="13"/>
  <c r="H752" i="13"/>
  <c r="H75" i="13"/>
  <c r="H403" i="13"/>
  <c r="H273" i="13"/>
  <c r="H766" i="13"/>
  <c r="H204" i="13"/>
  <c r="H72" i="13"/>
  <c r="H506" i="13"/>
  <c r="H546" i="13"/>
  <c r="H368" i="13"/>
  <c r="H768" i="13"/>
  <c r="H331" i="13"/>
  <c r="H244" i="13"/>
  <c r="H513" i="13"/>
  <c r="H63" i="13"/>
  <c r="H604" i="13"/>
  <c r="H409" i="13"/>
  <c r="H628" i="13"/>
  <c r="H514" i="13"/>
  <c r="H336" i="13"/>
  <c r="H576" i="13"/>
  <c r="H299" i="13"/>
  <c r="H266" i="13"/>
  <c r="H169" i="13"/>
  <c r="H153" i="13"/>
  <c r="H52" i="13"/>
  <c r="H389" i="13"/>
  <c r="H447" i="13"/>
  <c r="H61" i="13"/>
  <c r="H90" i="13"/>
  <c r="H36" i="13"/>
  <c r="H786" i="13"/>
  <c r="H431" i="13"/>
  <c r="H293" i="13"/>
  <c r="H26" i="13"/>
  <c r="H419" i="13"/>
  <c r="H289" i="13"/>
  <c r="H817" i="13"/>
  <c r="H316" i="13"/>
  <c r="H472" i="13"/>
  <c r="H175" i="13"/>
  <c r="H605" i="13"/>
  <c r="H44" i="13"/>
  <c r="H346" i="13"/>
  <c r="H104" i="13"/>
  <c r="H600" i="13"/>
  <c r="H406" i="13"/>
  <c r="H71" i="13"/>
  <c r="H552" i="13"/>
  <c r="H190" i="13"/>
  <c r="H300" i="13"/>
  <c r="H618" i="13"/>
  <c r="H456" i="13"/>
  <c r="H134" i="13"/>
  <c r="H574" i="13"/>
  <c r="H45" i="13"/>
  <c r="H667" i="13"/>
  <c r="H457" i="13"/>
  <c r="H826" i="13"/>
  <c r="H705" i="13"/>
  <c r="H110" i="13"/>
  <c r="H620" i="13"/>
  <c r="H171" i="13"/>
  <c r="H810" i="13"/>
  <c r="H758" i="13"/>
  <c r="H359" i="13"/>
  <c r="H793" i="13"/>
  <c r="H662" i="13"/>
  <c r="H807" i="13"/>
  <c r="H311" i="13"/>
  <c r="H492" i="13"/>
  <c r="H27" i="13"/>
  <c r="H728" i="13"/>
  <c r="H534" i="13"/>
  <c r="H255" i="13"/>
  <c r="H685" i="13"/>
  <c r="H76" i="13"/>
  <c r="H378" i="13"/>
  <c r="H200" i="13"/>
  <c r="H96" i="13"/>
  <c r="H69" i="13"/>
  <c r="H460" i="13"/>
  <c r="H794" i="13"/>
  <c r="H696" i="13"/>
  <c r="H502" i="13"/>
  <c r="H100" i="13"/>
  <c r="H610" i="13"/>
  <c r="H369" i="13"/>
  <c r="H64" i="13"/>
  <c r="H501" i="13"/>
  <c r="H851" i="13"/>
  <c r="H13" i="13"/>
  <c r="H28" i="13"/>
  <c r="H251" i="13"/>
  <c r="H74" i="13"/>
  <c r="H792" i="13"/>
  <c r="H295" i="13"/>
  <c r="H598" i="13"/>
  <c r="H596" i="13"/>
  <c r="H371" i="13"/>
  <c r="H82" i="13"/>
  <c r="H624" i="13"/>
  <c r="H479" i="13"/>
  <c r="H414" i="13"/>
  <c r="H509" i="13"/>
  <c r="H524" i="13"/>
  <c r="H747" i="13"/>
  <c r="H570" i="13"/>
  <c r="H361" i="13"/>
  <c r="H264" i="13"/>
  <c r="H759" i="13"/>
  <c r="H54" i="13"/>
  <c r="H324" i="13"/>
  <c r="H99" i="13"/>
  <c r="H593" i="13"/>
  <c r="H288" i="13"/>
  <c r="H207" i="13"/>
  <c r="H142" i="13"/>
  <c r="H237" i="13"/>
  <c r="H252" i="13"/>
  <c r="H475" i="13"/>
  <c r="H298" i="13"/>
  <c r="H89" i="13"/>
  <c r="H519" i="13"/>
  <c r="H822" i="13"/>
  <c r="H329" i="13"/>
  <c r="H503" i="13"/>
  <c r="H806" i="13"/>
  <c r="H278" i="13"/>
  <c r="H9" i="13"/>
  <c r="H228" i="13"/>
  <c r="H789" i="13"/>
  <c r="H650" i="13"/>
  <c r="H477" i="13"/>
  <c r="H388" i="13"/>
  <c r="H835" i="13"/>
  <c r="H178" i="13"/>
  <c r="H659" i="13"/>
  <c r="H541" i="13"/>
  <c r="H372" i="13"/>
  <c r="H561" i="13"/>
  <c r="H528" i="13"/>
  <c r="H339" i="13"/>
  <c r="H418" i="13"/>
  <c r="H720" i="13"/>
  <c r="H382" i="13"/>
  <c r="H173" i="13"/>
  <c r="H402" i="13"/>
  <c r="H62" i="13"/>
  <c r="H543" i="13"/>
  <c r="H318" i="13"/>
  <c r="H148" i="13"/>
  <c r="H240" i="13"/>
  <c r="H782" i="13"/>
  <c r="H487" i="13"/>
  <c r="H144" i="13"/>
  <c r="H813" i="13"/>
  <c r="H50" i="13"/>
  <c r="H797" i="13"/>
  <c r="H385" i="13"/>
  <c r="H592" i="13"/>
  <c r="H548" i="13"/>
  <c r="H145" i="13"/>
  <c r="H572" i="13"/>
  <c r="H211" i="13"/>
  <c r="H15" i="13"/>
  <c r="H740" i="13"/>
  <c r="H638" i="13"/>
  <c r="H773" i="13"/>
  <c r="H149" i="13"/>
  <c r="H800" i="13"/>
  <c r="H78" i="13"/>
  <c r="H715" i="13"/>
  <c r="H40" i="13"/>
  <c r="H553" i="13"/>
  <c r="H146" i="13"/>
  <c r="H703" i="13"/>
  <c r="H317" i="13"/>
  <c r="H490" i="13"/>
  <c r="H195" i="13"/>
  <c r="H65" i="13"/>
  <c r="H462" i="13"/>
  <c r="H245" i="13"/>
  <c r="H583" i="13"/>
  <c r="H180" i="13"/>
  <c r="H114" i="13"/>
  <c r="H671" i="13"/>
  <c r="H189" i="13"/>
  <c r="H282" i="13"/>
  <c r="H313" i="13"/>
  <c r="H154" i="13"/>
  <c r="H451" i="13"/>
  <c r="H321" i="13"/>
  <c r="H850" i="13"/>
  <c r="H348" i="13"/>
  <c r="H57" i="13"/>
  <c r="H435" i="13"/>
  <c r="H305" i="13"/>
  <c r="H706" i="13"/>
  <c r="H332" i="13"/>
  <c r="H584" i="13"/>
  <c r="H19" i="13"/>
  <c r="H769" i="13"/>
  <c r="H94" i="13"/>
  <c r="H779" i="13"/>
  <c r="H480" i="13"/>
  <c r="H846" i="13"/>
  <c r="H205" i="13"/>
  <c r="H827" i="13"/>
  <c r="H681" i="13"/>
  <c r="H119" i="13"/>
  <c r="H88" i="13"/>
  <c r="H390" i="13"/>
  <c r="H567" i="13"/>
  <c r="H551" i="13"/>
  <c r="H702" i="13"/>
  <c r="H801" i="13"/>
  <c r="H138" i="13"/>
  <c r="H471" i="13"/>
  <c r="H272" i="13"/>
  <c r="H126" i="13"/>
  <c r="H700" i="13"/>
  <c r="H187" i="13"/>
  <c r="H25" i="13"/>
  <c r="H774" i="13"/>
  <c r="H399" i="13"/>
  <c r="H829" i="13"/>
  <c r="H220" i="13"/>
  <c r="H538" i="13"/>
  <c r="H360" i="13"/>
  <c r="H102" i="13"/>
  <c r="H839" i="13"/>
  <c r="H328" i="13"/>
  <c r="H729" i="13"/>
  <c r="H646" i="13"/>
  <c r="H791" i="13"/>
  <c r="H92" i="13"/>
  <c r="H394" i="13"/>
  <c r="H216" i="13"/>
  <c r="H512" i="13"/>
  <c r="H560" i="13"/>
  <c r="H285" i="13"/>
  <c r="H812" i="13"/>
  <c r="H713" i="13"/>
  <c r="H215" i="13"/>
  <c r="H639" i="13"/>
  <c r="H669" i="13"/>
  <c r="H60" i="13"/>
  <c r="H362" i="13"/>
  <c r="H184" i="13"/>
  <c r="H150" i="13"/>
  <c r="H643" i="13"/>
  <c r="H354" i="13"/>
  <c r="H113" i="13"/>
  <c r="H799" i="13"/>
  <c r="H686" i="13"/>
  <c r="H781" i="13"/>
  <c r="H751" i="13"/>
  <c r="H847" i="13"/>
  <c r="H741" i="13"/>
  <c r="H633" i="13"/>
  <c r="H536" i="13"/>
  <c r="H39" i="13"/>
  <c r="H342" i="13"/>
  <c r="H340" i="13"/>
  <c r="H115" i="13"/>
  <c r="H609" i="13"/>
  <c r="H304" i="13"/>
  <c r="H223" i="13"/>
  <c r="H158" i="13"/>
  <c r="H253" i="13"/>
  <c r="H268" i="13"/>
  <c r="H491" i="13"/>
  <c r="H314" i="13"/>
  <c r="H105" i="13"/>
  <c r="H8" i="13"/>
  <c r="H838" i="13"/>
  <c r="H614" i="13"/>
  <c r="H68" i="13"/>
  <c r="H578" i="13"/>
  <c r="H337" i="13"/>
  <c r="H32" i="13"/>
  <c r="H21" i="13"/>
  <c r="H690" i="13"/>
  <c r="H517" i="13"/>
  <c r="H757" i="13"/>
  <c r="H219" i="13"/>
  <c r="H42" i="13"/>
  <c r="H760" i="13"/>
  <c r="H263" i="13"/>
  <c r="H566" i="13"/>
  <c r="H744" i="13"/>
  <c r="H247" i="13"/>
  <c r="H550" i="13"/>
  <c r="H198" i="13"/>
  <c r="H183" i="13"/>
  <c r="H37" i="13"/>
  <c r="H482" i="13"/>
  <c r="H241" i="13"/>
  <c r="H117" i="13"/>
  <c r="H689" i="13"/>
  <c r="H831" i="13"/>
  <c r="H722" i="13"/>
  <c r="H756" i="13"/>
  <c r="H123" i="13"/>
  <c r="H825" i="13"/>
  <c r="H664" i="13"/>
  <c r="H167" i="13"/>
  <c r="H470" i="13"/>
  <c r="H474" i="13"/>
  <c r="H742" i="13"/>
  <c r="H787" i="13"/>
  <c r="H466" i="13"/>
  <c r="H225" i="13"/>
  <c r="H772" i="13"/>
  <c r="H816" i="13"/>
  <c r="H783" i="13"/>
  <c r="H785" i="13"/>
  <c r="H818" i="13"/>
  <c r="H107" i="13"/>
  <c r="H777" i="13"/>
  <c r="H648" i="13"/>
  <c r="H151" i="13"/>
  <c r="H454" i="13"/>
  <c r="H265" i="13"/>
  <c r="H486" i="13"/>
  <c r="H196" i="13"/>
  <c r="H373" i="13"/>
  <c r="H465" i="13"/>
  <c r="H160" i="13"/>
  <c r="H79" i="13"/>
  <c r="H597" i="13"/>
  <c r="H162" i="13"/>
  <c r="H188" i="13"/>
  <c r="H563" i="13"/>
  <c r="H116" i="13"/>
  <c r="H737" i="13"/>
  <c r="H661" i="13"/>
  <c r="H428" i="13"/>
  <c r="H494" i="13"/>
  <c r="H464" i="13"/>
  <c r="H349" i="13"/>
  <c r="H303" i="13"/>
  <c r="H400" i="13"/>
  <c r="H585" i="13"/>
  <c r="H496" i="13"/>
  <c r="H629" i="13"/>
  <c r="H417" i="13"/>
  <c r="H93" i="13"/>
  <c r="H413" i="13"/>
  <c r="H434" i="13"/>
  <c r="H291" i="13"/>
  <c r="H159" i="13"/>
  <c r="H56" i="13"/>
  <c r="H692" i="13"/>
  <c r="H555" i="13"/>
  <c r="H564" i="13"/>
  <c r="H161" i="13"/>
  <c r="H796" i="13"/>
  <c r="H699" i="13"/>
  <c r="H723" i="13"/>
  <c r="H691" i="13"/>
  <c r="H770" i="13"/>
  <c r="H267" i="13"/>
  <c r="H31" i="13"/>
  <c r="H437" i="13"/>
  <c r="H18" i="13"/>
  <c r="H717" i="13"/>
  <c r="H404" i="13"/>
  <c r="H290" i="13"/>
  <c r="H645" i="13"/>
  <c r="H557" i="13"/>
  <c r="H746" i="13"/>
  <c r="H87" i="13"/>
  <c r="H55" i="13"/>
  <c r="H529" i="13"/>
  <c r="H127" i="13"/>
  <c r="H764" i="13"/>
  <c r="H425" i="13"/>
  <c r="H530" i="13"/>
  <c r="H352" i="13"/>
  <c r="H672" i="13"/>
  <c r="H315" i="13"/>
  <c r="H644" i="13"/>
  <c r="H579" i="13"/>
  <c r="H449" i="13"/>
  <c r="H47" i="13"/>
  <c r="H588" i="13"/>
  <c r="H393" i="13"/>
  <c r="H246" i="13"/>
  <c r="H155" i="13"/>
  <c r="H137" i="13"/>
  <c r="H51" i="13"/>
  <c r="H771" i="13"/>
  <c r="H222" i="13"/>
  <c r="H811" i="13"/>
  <c r="H734" i="13"/>
  <c r="H35" i="13"/>
  <c r="H738" i="13"/>
  <c r="H206" i="13"/>
  <c r="H795" i="13"/>
  <c r="H364" i="13"/>
  <c r="H306" i="13"/>
  <c r="H837" i="13"/>
  <c r="H573" i="13"/>
  <c r="H762" i="13"/>
  <c r="H80" i="13"/>
  <c r="H334" i="13"/>
  <c r="H736" i="13"/>
  <c r="H411" i="13"/>
  <c r="H185" i="13"/>
  <c r="H663" i="13"/>
  <c r="H103" i="13"/>
  <c r="H651" i="13"/>
  <c r="H374" i="13"/>
  <c r="H262" i="13"/>
  <c r="H461" i="13"/>
  <c r="H683" i="13"/>
  <c r="H537" i="13"/>
  <c r="H229" i="13"/>
  <c r="H674" i="13"/>
  <c r="H845" i="13"/>
  <c r="H236" i="13"/>
  <c r="H602" i="13"/>
  <c r="H440" i="13"/>
  <c r="H118" i="13"/>
  <c r="H709" i="13"/>
  <c r="H429" i="13"/>
  <c r="H832" i="13"/>
  <c r="H106" i="13"/>
  <c r="H375" i="13"/>
  <c r="H841" i="13"/>
  <c r="H678" i="13"/>
  <c r="H343" i="13"/>
  <c r="H312" i="13"/>
  <c r="H824" i="13"/>
  <c r="H630" i="13"/>
  <c r="H844" i="13"/>
  <c r="H197" i="13"/>
  <c r="H231" i="13"/>
  <c r="H112" i="13"/>
  <c r="H366" i="13"/>
  <c r="H848" i="13"/>
  <c r="H443" i="13"/>
  <c r="H281" i="13"/>
  <c r="H695" i="13"/>
  <c r="H191" i="13"/>
  <c r="H221" i="13"/>
  <c r="H843" i="13"/>
  <c r="H697" i="13"/>
  <c r="H199" i="13"/>
  <c r="H612" i="13"/>
  <c r="H387" i="13"/>
  <c r="H98" i="13"/>
  <c r="H688" i="13"/>
  <c r="H495" i="13"/>
  <c r="H430" i="13"/>
  <c r="H525" i="13"/>
  <c r="H540" i="13"/>
  <c r="H763" i="13"/>
  <c r="H586" i="13"/>
  <c r="H377" i="13"/>
  <c r="H280" i="13"/>
  <c r="H775" i="13"/>
  <c r="H70" i="13"/>
  <c r="H84" i="13"/>
  <c r="H594" i="13"/>
  <c r="H353" i="13"/>
  <c r="H48" i="13"/>
  <c r="H277" i="13"/>
  <c r="H834" i="13"/>
  <c r="H693" i="13"/>
  <c r="H12" i="13"/>
  <c r="H235" i="13"/>
  <c r="H58" i="13"/>
  <c r="H776" i="13"/>
  <c r="H279" i="13"/>
  <c r="H582" i="13"/>
  <c r="H5" i="13"/>
  <c r="H611" i="13"/>
  <c r="H322" i="13"/>
  <c r="H81" i="13"/>
  <c r="H719" i="13"/>
  <c r="H654" i="13"/>
  <c r="H749" i="13"/>
  <c r="H750" i="13"/>
  <c r="H814" i="13"/>
  <c r="H213" i="13"/>
  <c r="H601" i="13"/>
  <c r="H504" i="13"/>
  <c r="H7" i="13"/>
  <c r="H6" i="13"/>
  <c r="H559" i="13"/>
  <c r="H853" i="13"/>
  <c r="H658" i="13"/>
  <c r="H208" i="13"/>
  <c r="H539" i="13"/>
  <c r="H17" i="13"/>
  <c r="H666" i="13"/>
  <c r="H527" i="13"/>
  <c r="H254" i="13"/>
  <c r="H108" i="13"/>
  <c r="H260" i="13"/>
  <c r="H287" i="13"/>
  <c r="H626" i="13"/>
  <c r="H276" i="13"/>
  <c r="H164" i="13"/>
  <c r="H384" i="13"/>
  <c r="H544" i="13"/>
  <c r="H577" i="13"/>
  <c r="H485" i="13"/>
  <c r="H274" i="13"/>
  <c r="H805" i="13"/>
  <c r="H242" i="13"/>
  <c r="H849" i="13"/>
  <c r="H660" i="13"/>
  <c r="H707" i="13"/>
  <c r="H309" i="13"/>
  <c r="H283" i="13"/>
  <c r="H257" i="13"/>
  <c r="H836" i="13"/>
  <c r="H67" i="13"/>
  <c r="H718" i="13"/>
  <c r="H804" i="13"/>
  <c r="H571" i="13"/>
  <c r="H532" i="13"/>
  <c r="H33" i="13"/>
  <c r="H556" i="13"/>
  <c r="H677" i="13"/>
  <c r="H721" i="13"/>
  <c r="H319" i="13"/>
  <c r="H852" i="13"/>
  <c r="H549" i="13"/>
  <c r="H523" i="13"/>
  <c r="H350" i="13"/>
  <c r="H129" i="13"/>
  <c r="H478" i="13"/>
  <c r="H405" i="13"/>
  <c r="H533" i="13"/>
  <c r="H130" i="13"/>
  <c r="H687" i="13"/>
  <c r="H301" i="13"/>
  <c r="H410" i="13"/>
  <c r="H595" i="13"/>
  <c r="H179" i="13"/>
  <c r="H49" i="13"/>
  <c r="H446" i="13"/>
  <c r="H133" i="13"/>
  <c r="H535" i="13"/>
  <c r="H250" i="13"/>
  <c r="H234" i="13"/>
  <c r="H500" i="13"/>
  <c r="H386" i="13"/>
  <c r="H128" i="13"/>
  <c r="H701" i="13"/>
  <c r="H59" i="13"/>
  <c r="H436" i="13"/>
  <c r="H370" i="13"/>
  <c r="H16" i="13"/>
  <c r="H589" i="13"/>
  <c r="H43" i="13"/>
  <c r="H420" i="13"/>
  <c r="H833" i="13"/>
  <c r="H383" i="13"/>
  <c r="H53" i="13"/>
  <c r="H10" i="13"/>
  <c r="H575" i="13"/>
  <c r="H820" i="13"/>
  <c r="H444" i="13"/>
  <c r="H778" i="13"/>
  <c r="H616" i="13"/>
  <c r="H422" i="13"/>
  <c r="H599" i="13"/>
  <c r="H568" i="13"/>
  <c r="H73" i="13"/>
  <c r="H590" i="13"/>
  <c r="H732" i="13"/>
  <c r="H203" i="13"/>
  <c r="H41" i="13"/>
  <c r="H790" i="13"/>
  <c r="H415" i="13"/>
  <c r="H445" i="13"/>
  <c r="H753" i="13"/>
  <c r="H122" i="13"/>
  <c r="H455" i="13"/>
  <c r="H256" i="13"/>
  <c r="H510" i="13"/>
  <c r="H29" i="13"/>
  <c r="H587" i="13"/>
  <c r="H344" i="13"/>
  <c r="H296" i="13"/>
  <c r="H711" i="13"/>
  <c r="H11" i="13"/>
  <c r="H784" i="13"/>
  <c r="H356" i="13"/>
  <c r="H239" i="13"/>
  <c r="H507" i="13"/>
  <c r="H854" i="13"/>
  <c r="H97" i="13"/>
  <c r="H830" i="13"/>
  <c r="H520" i="13"/>
  <c r="H355" i="13"/>
  <c r="H398" i="13"/>
  <c r="H554" i="13"/>
  <c r="H310" i="13"/>
  <c r="H821" i="13"/>
  <c r="H139" i="13"/>
  <c r="H515" i="13"/>
  <c r="H497" i="13"/>
  <c r="H623" i="13"/>
  <c r="H302" i="13"/>
  <c r="H141" i="13"/>
  <c r="H748" i="13"/>
  <c r="H458" i="13"/>
  <c r="H725" i="13"/>
  <c r="H761" i="13"/>
  <c r="H780" i="13"/>
  <c r="H439" i="13"/>
  <c r="H499" i="13"/>
  <c r="H788" i="13"/>
  <c r="H176" i="13"/>
  <c r="H542" i="13"/>
  <c r="H381" i="13"/>
  <c r="H140" i="13"/>
  <c r="H698" i="13"/>
  <c r="H233" i="13"/>
  <c r="H407" i="13"/>
  <c r="H182" i="13"/>
  <c r="H168" i="13"/>
  <c r="H452" i="13"/>
  <c r="H450" i="13"/>
  <c r="H101" i="13"/>
  <c r="H335" i="13"/>
  <c r="H14" i="13"/>
  <c r="H109" i="13"/>
  <c r="H124" i="13"/>
  <c r="H347" i="13"/>
  <c r="H170" i="13"/>
  <c r="H181" i="13"/>
  <c r="H391" i="13"/>
  <c r="H694" i="13"/>
  <c r="H808" i="13"/>
  <c r="H86" i="13"/>
  <c r="H802" i="13"/>
  <c r="H655" i="13"/>
  <c r="H712" i="13"/>
  <c r="H427" i="13"/>
  <c r="H131" i="13"/>
  <c r="H174" i="13"/>
  <c r="H330" i="13"/>
  <c r="H358" i="13"/>
  <c r="H735" i="13"/>
  <c r="H767" i="13"/>
  <c r="H23" i="13"/>
  <c r="H66" i="13"/>
  <c r="H493" i="13"/>
  <c r="H345" i="13"/>
  <c r="H38" i="13"/>
  <c r="H727" i="13"/>
  <c r="H218" i="13"/>
  <c r="H259" i="13"/>
  <c r="H581" i="13"/>
  <c r="H367" i="13"/>
  <c r="H46" i="13"/>
  <c r="H668" i="13"/>
  <c r="H635" i="13"/>
  <c r="H202" i="13"/>
  <c r="H408" i="13"/>
  <c r="H647" i="13"/>
  <c r="H395" i="13"/>
  <c r="H724" i="13"/>
  <c r="H243" i="13"/>
  <c r="H481" i="13"/>
  <c r="H607" i="13"/>
  <c r="H286" i="13"/>
  <c r="H125" i="13"/>
  <c r="H716" i="13"/>
  <c r="H442" i="13"/>
  <c r="H453" i="13"/>
  <c r="H840" i="13"/>
  <c r="H730" i="13"/>
  <c r="H809" i="13"/>
  <c r="H739" i="13"/>
  <c r="H194" i="13"/>
  <c r="H416" i="13"/>
  <c r="H704" i="13"/>
  <c r="H798" i="13"/>
  <c r="H673" i="13"/>
  <c r="H642" i="13"/>
  <c r="H91" i="13"/>
  <c r="H745" i="13"/>
  <c r="H632" i="13"/>
  <c r="H135" i="13"/>
  <c r="H438" i="13"/>
  <c r="H526" i="13"/>
  <c r="H636" i="13"/>
  <c r="H682" i="13"/>
  <c r="H166" i="13"/>
  <c r="H441" i="13"/>
  <c r="H823" i="13"/>
  <c r="H459" i="13"/>
  <c r="H341" i="13"/>
  <c r="H518" i="13"/>
  <c r="H201" i="13"/>
  <c r="H625" i="13"/>
  <c r="H269" i="13"/>
  <c r="H121" i="13"/>
  <c r="H627" i="13"/>
  <c r="H670" i="13"/>
  <c r="H469" i="13"/>
  <c r="H326" i="13"/>
  <c r="H608" i="13"/>
  <c r="H508" i="13"/>
  <c r="H248" i="13"/>
  <c r="H488" i="13"/>
  <c r="H294" i="13"/>
  <c r="H165" i="13"/>
  <c r="H226" i="13"/>
  <c r="H448" i="13"/>
  <c r="H111" i="13"/>
  <c r="H653" i="13"/>
  <c r="H412" i="13"/>
  <c r="H379" i="13"/>
  <c r="H505" i="13"/>
  <c r="H152" i="13"/>
  <c r="H726" i="13"/>
  <c r="H521" i="13"/>
  <c r="H468" i="13"/>
  <c r="H565" i="13"/>
  <c r="H325" i="13"/>
  <c r="H351" i="13"/>
  <c r="H30" i="13"/>
  <c r="H652" i="13"/>
  <c r="H619" i="13"/>
  <c r="H186" i="13"/>
  <c r="H392" i="13"/>
  <c r="H631" i="13"/>
  <c r="H842" i="13"/>
  <c r="H230" i="13"/>
  <c r="H483" i="13"/>
  <c r="H755" i="13"/>
  <c r="H819" i="13"/>
  <c r="H621" i="13"/>
  <c r="H684" i="13"/>
  <c r="H473" i="13"/>
  <c r="H855" i="13"/>
  <c r="H327" i="13"/>
  <c r="H297" i="13"/>
  <c r="H476" i="13"/>
  <c r="H815" i="13"/>
  <c r="H679" i="13"/>
  <c r="H320" i="13"/>
  <c r="H284" i="13"/>
  <c r="H24" i="13"/>
  <c r="H338" i="13"/>
  <c r="H765" i="13"/>
  <c r="H617" i="13"/>
  <c r="H580" i="13"/>
  <c r="H463" i="13"/>
  <c r="H731" i="13"/>
  <c r="H743" i="13"/>
  <c r="H232" i="13"/>
  <c r="H22" i="13"/>
  <c r="H484" i="13"/>
  <c r="H85" i="13"/>
  <c r="H192" i="13"/>
  <c r="H558" i="13"/>
  <c r="H397" i="13"/>
  <c r="H156" i="13"/>
  <c r="H714" i="13"/>
  <c r="H249" i="13"/>
  <c r="H423" i="13"/>
  <c r="H214" i="13"/>
  <c r="H680" i="13"/>
  <c r="H212" i="13"/>
  <c r="H210" i="13"/>
  <c r="H432" i="13"/>
  <c r="H95" i="13"/>
  <c r="H637" i="13"/>
  <c r="H396" i="13"/>
  <c r="H363" i="13"/>
  <c r="H489" i="13"/>
  <c r="H136" i="13"/>
  <c r="H710" i="13"/>
  <c r="H424" i="13"/>
  <c r="H708" i="13"/>
  <c r="H227" i="13"/>
  <c r="H209" i="13"/>
  <c r="H591" i="13"/>
  <c r="H270" i="13"/>
  <c r="H365" i="13"/>
  <c r="H380" i="13"/>
  <c r="H603" i="13"/>
  <c r="H426" i="13"/>
  <c r="H217" i="13"/>
  <c r="H120" i="13"/>
  <c r="H615" i="13"/>
  <c r="H376" i="13"/>
  <c r="J262" i="13" l="1"/>
  <c r="J326" i="13"/>
  <c r="J390" i="13"/>
  <c r="J454" i="13"/>
  <c r="J518" i="13"/>
  <c r="J582" i="13"/>
  <c r="J646" i="13"/>
  <c r="J710" i="13"/>
  <c r="J774" i="13"/>
  <c r="J838" i="13"/>
  <c r="J375" i="13"/>
  <c r="J439" i="13"/>
  <c r="J503" i="13"/>
  <c r="J567" i="13"/>
  <c r="J631" i="13"/>
  <c r="J695" i="13"/>
  <c r="J775" i="13"/>
  <c r="J263" i="13"/>
  <c r="J327" i="13"/>
  <c r="J248" i="13"/>
  <c r="J312" i="13"/>
  <c r="J376" i="13"/>
  <c r="J440" i="13"/>
  <c r="J504" i="13"/>
  <c r="J568" i="13"/>
  <c r="J632" i="13"/>
  <c r="J696" i="13"/>
  <c r="J760" i="13"/>
  <c r="J824" i="13"/>
  <c r="J650" i="13"/>
  <c r="J826" i="13"/>
  <c r="J249" i="13"/>
  <c r="J313" i="13"/>
  <c r="J377" i="13"/>
  <c r="J441" i="13"/>
  <c r="J505" i="13"/>
  <c r="J569" i="13"/>
  <c r="J633" i="13"/>
  <c r="J697" i="13"/>
  <c r="J761" i="13"/>
  <c r="J825" i="13"/>
  <c r="J666" i="13"/>
  <c r="J842" i="13"/>
  <c r="J250" i="13"/>
  <c r="J314" i="13"/>
  <c r="J378" i="13"/>
  <c r="J442" i="13"/>
  <c r="J506" i="13"/>
  <c r="J634" i="13"/>
  <c r="J613" i="13"/>
  <c r="J283" i="13"/>
  <c r="J347" i="13"/>
  <c r="J411" i="13"/>
  <c r="J475" i="13"/>
  <c r="J539" i="13"/>
  <c r="J603" i="13"/>
  <c r="J667" i="13"/>
  <c r="J731" i="13"/>
  <c r="J795" i="13"/>
  <c r="J780" i="13"/>
  <c r="J831" i="13"/>
  <c r="J834" i="13"/>
  <c r="J756" i="13"/>
  <c r="J805" i="13"/>
  <c r="J284" i="13"/>
  <c r="J348" i="13"/>
  <c r="J412" i="13"/>
  <c r="J476" i="13"/>
  <c r="J540" i="13"/>
  <c r="J604" i="13"/>
  <c r="J668" i="13"/>
  <c r="J732" i="13"/>
  <c r="J828" i="13"/>
  <c r="J721" i="13"/>
  <c r="J531" i="13"/>
  <c r="J693" i="13"/>
  <c r="J285" i="13"/>
  <c r="J349" i="13"/>
  <c r="J413" i="13"/>
  <c r="J477" i="13"/>
  <c r="J541" i="13"/>
  <c r="J605" i="13"/>
  <c r="J669" i="13"/>
  <c r="J733" i="13"/>
  <c r="J797" i="13"/>
  <c r="J782" i="13"/>
  <c r="J799" i="13"/>
  <c r="J850" i="13"/>
  <c r="J261" i="13"/>
  <c r="J254" i="13"/>
  <c r="J318" i="13"/>
  <c r="J382" i="13"/>
  <c r="J446" i="13"/>
  <c r="J510" i="13"/>
  <c r="J574" i="13"/>
  <c r="J638" i="13"/>
  <c r="J702" i="13"/>
  <c r="J766" i="13"/>
  <c r="J673" i="13"/>
  <c r="J739" i="13"/>
  <c r="J645" i="13"/>
  <c r="J271" i="13"/>
  <c r="J335" i="13"/>
  <c r="J399" i="13"/>
  <c r="J463" i="13"/>
  <c r="J527" i="13"/>
  <c r="J591" i="13"/>
  <c r="J655" i="13"/>
  <c r="J719" i="13"/>
  <c r="J851" i="13"/>
  <c r="J789" i="13"/>
  <c r="J288" i="13"/>
  <c r="J352" i="13"/>
  <c r="J416" i="13"/>
  <c r="J480" i="13"/>
  <c r="J544" i="13"/>
  <c r="J608" i="13"/>
  <c r="J672" i="13"/>
  <c r="J736" i="13"/>
  <c r="J800" i="13"/>
  <c r="J545" i="13"/>
  <c r="J706" i="13"/>
  <c r="J325" i="13"/>
  <c r="J257" i="13"/>
  <c r="J321" i="13"/>
  <c r="J385" i="13"/>
  <c r="J449" i="13"/>
  <c r="J513" i="13"/>
  <c r="J593" i="13"/>
  <c r="J769" i="13"/>
  <c r="J836" i="13"/>
  <c r="J725" i="13"/>
  <c r="J290" i="13"/>
  <c r="J354" i="13"/>
  <c r="J418" i="13"/>
  <c r="J482" i="13"/>
  <c r="J546" i="13"/>
  <c r="J610" i="13"/>
  <c r="J674" i="13"/>
  <c r="J819" i="13"/>
  <c r="J243" i="13"/>
  <c r="J307" i="13"/>
  <c r="J371" i="13"/>
  <c r="J435" i="13"/>
  <c r="J499" i="13"/>
  <c r="J803" i="13"/>
  <c r="J260" i="13"/>
  <c r="J324" i="13"/>
  <c r="J388" i="13"/>
  <c r="J452" i="13"/>
  <c r="J516" i="13"/>
  <c r="J580" i="13"/>
  <c r="J644" i="13"/>
  <c r="J708" i="13"/>
  <c r="J245" i="13"/>
  <c r="J773" i="13"/>
  <c r="J41" i="13"/>
  <c r="J109" i="13"/>
  <c r="J161" i="13"/>
  <c r="J22" i="13"/>
  <c r="J74" i="13"/>
  <c r="J142" i="13"/>
  <c r="J194" i="13"/>
  <c r="J55" i="13"/>
  <c r="J107" i="13"/>
  <c r="J159" i="13"/>
  <c r="J227" i="13"/>
  <c r="J88" i="13"/>
  <c r="J140" i="13"/>
  <c r="J192" i="13"/>
  <c r="J70" i="13"/>
  <c r="J122" i="13"/>
  <c r="J190" i="13"/>
  <c r="J21" i="13"/>
  <c r="J120" i="13"/>
  <c r="J172" i="13"/>
  <c r="J224" i="13"/>
  <c r="J102" i="13"/>
  <c r="J154" i="13"/>
  <c r="J222" i="13"/>
  <c r="J35" i="13"/>
  <c r="J152" i="13"/>
  <c r="J204" i="13"/>
  <c r="J17" i="13"/>
  <c r="J134" i="13"/>
  <c r="J186" i="13"/>
  <c r="J229" i="13"/>
  <c r="J67" i="13"/>
  <c r="J184" i="13"/>
  <c r="J49" i="13"/>
  <c r="J166" i="13"/>
  <c r="J31" i="13"/>
  <c r="J216" i="13"/>
  <c r="J198" i="13"/>
  <c r="J131" i="13"/>
  <c r="J61" i="13"/>
  <c r="J43" i="13"/>
  <c r="J25" i="13"/>
  <c r="J4" i="13"/>
  <c r="J688" i="13"/>
  <c r="J306" i="13"/>
  <c r="J562" i="13"/>
  <c r="J389" i="13"/>
  <c r="J323" i="13"/>
  <c r="J421" i="13"/>
  <c r="J404" i="13"/>
  <c r="J532" i="13"/>
  <c r="J724" i="13"/>
  <c r="J6" i="13"/>
  <c r="J178" i="13"/>
  <c r="J211" i="13"/>
  <c r="J176" i="13"/>
  <c r="J157" i="13"/>
  <c r="J139" i="13"/>
  <c r="J189" i="13"/>
  <c r="J171" i="13"/>
  <c r="J34" i="13"/>
  <c r="J84" i="13"/>
  <c r="J183" i="13"/>
  <c r="J217" i="13"/>
  <c r="J28" i="13"/>
  <c r="J78" i="13"/>
  <c r="J112" i="13"/>
  <c r="J162" i="13"/>
  <c r="J278" i="13"/>
  <c r="J342" i="13"/>
  <c r="J406" i="13"/>
  <c r="J470" i="13"/>
  <c r="J534" i="13"/>
  <c r="J598" i="13"/>
  <c r="J662" i="13"/>
  <c r="J726" i="13"/>
  <c r="J790" i="13"/>
  <c r="J854" i="13"/>
  <c r="J391" i="13"/>
  <c r="J455" i="13"/>
  <c r="J519" i="13"/>
  <c r="J583" i="13"/>
  <c r="J647" i="13"/>
  <c r="J711" i="13"/>
  <c r="J791" i="13"/>
  <c r="J279" i="13"/>
  <c r="J743" i="13"/>
  <c r="J264" i="13"/>
  <c r="J328" i="13"/>
  <c r="J392" i="13"/>
  <c r="J456" i="13"/>
  <c r="J520" i="13"/>
  <c r="J584" i="13"/>
  <c r="J648" i="13"/>
  <c r="J712" i="13"/>
  <c r="J776" i="13"/>
  <c r="J840" i="13"/>
  <c r="J714" i="13"/>
  <c r="J549" i="13"/>
  <c r="J265" i="13"/>
  <c r="J329" i="13"/>
  <c r="J393" i="13"/>
  <c r="J457" i="13"/>
  <c r="J521" i="13"/>
  <c r="J585" i="13"/>
  <c r="J649" i="13"/>
  <c r="J713" i="13"/>
  <c r="J777" i="13"/>
  <c r="J841" i="13"/>
  <c r="J698" i="13"/>
  <c r="J533" i="13"/>
  <c r="J266" i="13"/>
  <c r="J330" i="13"/>
  <c r="J394" i="13"/>
  <c r="J458" i="13"/>
  <c r="J522" i="13"/>
  <c r="J682" i="13"/>
  <c r="J235" i="13"/>
  <c r="J299" i="13"/>
  <c r="J363" i="13"/>
  <c r="J427" i="13"/>
  <c r="J491" i="13"/>
  <c r="J555" i="13"/>
  <c r="J619" i="13"/>
  <c r="J683" i="13"/>
  <c r="J747" i="13"/>
  <c r="J811" i="13"/>
  <c r="J812" i="13"/>
  <c r="J657" i="13"/>
  <c r="J675" i="13"/>
  <c r="J293" i="13"/>
  <c r="J236" i="13"/>
  <c r="J300" i="13"/>
  <c r="J364" i="13"/>
  <c r="J428" i="13"/>
  <c r="J492" i="13"/>
  <c r="J556" i="13"/>
  <c r="J620" i="13"/>
  <c r="J684" i="13"/>
  <c r="J748" i="13"/>
  <c r="J767" i="13"/>
  <c r="J753" i="13"/>
  <c r="J707" i="13"/>
  <c r="J237" i="13"/>
  <c r="J301" i="13"/>
  <c r="J365" i="13"/>
  <c r="J429" i="13"/>
  <c r="J493" i="13"/>
  <c r="J557" i="13"/>
  <c r="J621" i="13"/>
  <c r="J685" i="13"/>
  <c r="J749" i="13"/>
  <c r="J813" i="13"/>
  <c r="J814" i="13"/>
  <c r="J705" i="13"/>
  <c r="J627" i="13"/>
  <c r="J437" i="13"/>
  <c r="J270" i="13"/>
  <c r="J334" i="13"/>
  <c r="J398" i="13"/>
  <c r="J462" i="13"/>
  <c r="J526" i="13"/>
  <c r="J590" i="13"/>
  <c r="J654" i="13"/>
  <c r="J718" i="13"/>
  <c r="J798" i="13"/>
  <c r="J817" i="13"/>
  <c r="J820" i="13"/>
  <c r="J821" i="13"/>
  <c r="J287" i="13"/>
  <c r="J351" i="13"/>
  <c r="J415" i="13"/>
  <c r="J479" i="13"/>
  <c r="J543" i="13"/>
  <c r="J607" i="13"/>
  <c r="J671" i="13"/>
  <c r="J754" i="13"/>
  <c r="J852" i="13"/>
  <c r="J240" i="13"/>
  <c r="J304" i="13"/>
  <c r="J368" i="13"/>
  <c r="J432" i="13"/>
  <c r="J560" i="13"/>
  <c r="J624" i="13"/>
  <c r="J752" i="13"/>
  <c r="J816" i="13"/>
  <c r="J641" i="13"/>
  <c r="J595" i="13"/>
  <c r="J517" i="13"/>
  <c r="J273" i="13"/>
  <c r="J337" i="13"/>
  <c r="J401" i="13"/>
  <c r="J465" i="13"/>
  <c r="J529" i="13"/>
  <c r="J609" i="13"/>
  <c r="J818" i="13"/>
  <c r="J277" i="13"/>
  <c r="J242" i="13"/>
  <c r="J370" i="13"/>
  <c r="J498" i="13"/>
  <c r="J690" i="13"/>
  <c r="J387" i="13"/>
  <c r="J340" i="13"/>
  <c r="J660" i="13"/>
  <c r="J58" i="13"/>
  <c r="J143" i="13"/>
  <c r="J89" i="13"/>
  <c r="J121" i="13"/>
  <c r="J52" i="13"/>
  <c r="J16" i="13"/>
  <c r="J117" i="13"/>
  <c r="J215" i="13"/>
  <c r="J10" i="13"/>
  <c r="J180" i="13"/>
  <c r="J294" i="13"/>
  <c r="J358" i="13"/>
  <c r="J422" i="13"/>
  <c r="J486" i="13"/>
  <c r="J550" i="13"/>
  <c r="J614" i="13"/>
  <c r="J678" i="13"/>
  <c r="J742" i="13"/>
  <c r="J806" i="13"/>
  <c r="J343" i="13"/>
  <c r="J407" i="13"/>
  <c r="J471" i="13"/>
  <c r="J535" i="13"/>
  <c r="J599" i="13"/>
  <c r="J663" i="13"/>
  <c r="J727" i="13"/>
  <c r="J823" i="13"/>
  <c r="J295" i="13"/>
  <c r="J807" i="13"/>
  <c r="J280" i="13"/>
  <c r="J344" i="13"/>
  <c r="J408" i="13"/>
  <c r="J472" i="13"/>
  <c r="J536" i="13"/>
  <c r="J600" i="13"/>
  <c r="J664" i="13"/>
  <c r="J728" i="13"/>
  <c r="J792" i="13"/>
  <c r="J538" i="13"/>
  <c r="J762" i="13"/>
  <c r="J853" i="13"/>
  <c r="J281" i="13"/>
  <c r="J345" i="13"/>
  <c r="J409" i="13"/>
  <c r="J473" i="13"/>
  <c r="J537" i="13"/>
  <c r="J601" i="13"/>
  <c r="J665" i="13"/>
  <c r="J729" i="13"/>
  <c r="J793" i="13"/>
  <c r="J554" i="13"/>
  <c r="J730" i="13"/>
  <c r="J757" i="13"/>
  <c r="J282" i="13"/>
  <c r="J346" i="13"/>
  <c r="J410" i="13"/>
  <c r="J474" i="13"/>
  <c r="J570" i="13"/>
  <c r="J746" i="13"/>
  <c r="J251" i="13"/>
  <c r="J315" i="13"/>
  <c r="J379" i="13"/>
  <c r="J443" i="13"/>
  <c r="J507" i="13"/>
  <c r="J571" i="13"/>
  <c r="J635" i="13"/>
  <c r="J699" i="13"/>
  <c r="J763" i="13"/>
  <c r="J827" i="13"/>
  <c r="J844" i="13"/>
  <c r="J801" i="13"/>
  <c r="J771" i="13"/>
  <c r="J469" i="13"/>
  <c r="J252" i="13"/>
  <c r="J316" i="13"/>
  <c r="J380" i="13"/>
  <c r="J444" i="13"/>
  <c r="J508" i="13"/>
  <c r="J572" i="13"/>
  <c r="J636" i="13"/>
  <c r="J700" i="13"/>
  <c r="J764" i="13"/>
  <c r="J815" i="13"/>
  <c r="J833" i="13"/>
  <c r="J309" i="13"/>
  <c r="J253" i="13"/>
  <c r="J317" i="13"/>
  <c r="J381" i="13"/>
  <c r="J445" i="13"/>
  <c r="J509" i="13"/>
  <c r="J573" i="13"/>
  <c r="J637" i="13"/>
  <c r="J701" i="13"/>
  <c r="J765" i="13"/>
  <c r="J829" i="13"/>
  <c r="J846" i="13"/>
  <c r="J785" i="13"/>
  <c r="J755" i="13"/>
  <c r="J661" i="13"/>
  <c r="J286" i="13"/>
  <c r="J350" i="13"/>
  <c r="J414" i="13"/>
  <c r="J478" i="13"/>
  <c r="J542" i="13"/>
  <c r="J606" i="13"/>
  <c r="J670" i="13"/>
  <c r="J734" i="13"/>
  <c r="J830" i="13"/>
  <c r="J770" i="13"/>
  <c r="J341" i="13"/>
  <c r="J239" i="13"/>
  <c r="J303" i="13"/>
  <c r="J367" i="13"/>
  <c r="J431" i="13"/>
  <c r="J495" i="13"/>
  <c r="J559" i="13"/>
  <c r="J623" i="13"/>
  <c r="J687" i="13"/>
  <c r="J611" i="13"/>
  <c r="J373" i="13"/>
  <c r="J256" i="13"/>
  <c r="J320" i="13"/>
  <c r="J384" i="13"/>
  <c r="J448" i="13"/>
  <c r="J512" i="13"/>
  <c r="J576" i="13"/>
  <c r="J640" i="13"/>
  <c r="J704" i="13"/>
  <c r="J768" i="13"/>
  <c r="J832" i="13"/>
  <c r="J737" i="13"/>
  <c r="J691" i="13"/>
  <c r="J709" i="13"/>
  <c r="J289" i="13"/>
  <c r="J353" i="13"/>
  <c r="J417" i="13"/>
  <c r="J481" i="13"/>
  <c r="J561" i="13"/>
  <c r="J625" i="13"/>
  <c r="J563" i="13"/>
  <c r="J405" i="13"/>
  <c r="J258" i="13"/>
  <c r="J322" i="13"/>
  <c r="J386" i="13"/>
  <c r="J450" i="13"/>
  <c r="J514" i="13"/>
  <c r="J578" i="13"/>
  <c r="J642" i="13"/>
  <c r="J738" i="13"/>
  <c r="J629" i="13"/>
  <c r="J275" i="13"/>
  <c r="J339" i="13"/>
  <c r="J403" i="13"/>
  <c r="J467" i="13"/>
  <c r="J579" i="13"/>
  <c r="J741" i="13"/>
  <c r="J292" i="13"/>
  <c r="J356" i="13"/>
  <c r="J420" i="13"/>
  <c r="J484" i="13"/>
  <c r="J548" i="13"/>
  <c r="J612" i="13"/>
  <c r="J676" i="13"/>
  <c r="J740" i="13"/>
  <c r="J453" i="13"/>
  <c r="J23" i="13"/>
  <c r="J75" i="13"/>
  <c r="J127" i="13"/>
  <c r="J195" i="13"/>
  <c r="J56" i="13"/>
  <c r="J108" i="13"/>
  <c r="J160" i="13"/>
  <c r="J228" i="13"/>
  <c r="J73" i="13"/>
  <c r="J141" i="13"/>
  <c r="J193" i="13"/>
  <c r="J54" i="13"/>
  <c r="J106" i="13"/>
  <c r="J174" i="13"/>
  <c r="J226" i="13"/>
  <c r="J104" i="13"/>
  <c r="J156" i="13"/>
  <c r="J208" i="13"/>
  <c r="J86" i="13"/>
  <c r="J138" i="13"/>
  <c r="J206" i="13"/>
  <c r="J19" i="13"/>
  <c r="J136" i="13"/>
  <c r="J188" i="13"/>
  <c r="J69" i="13"/>
  <c r="J118" i="13"/>
  <c r="J170" i="13"/>
  <c r="J133" i="13"/>
  <c r="J51" i="13"/>
  <c r="J168" i="13"/>
  <c r="J220" i="13"/>
  <c r="J33" i="13"/>
  <c r="J150" i="13"/>
  <c r="J202" i="13"/>
  <c r="J15" i="13"/>
  <c r="J83" i="13"/>
  <c r="J200" i="13"/>
  <c r="J13" i="13"/>
  <c r="J65" i="13"/>
  <c r="J182" i="13"/>
  <c r="J197" i="13"/>
  <c r="J47" i="13"/>
  <c r="J115" i="13"/>
  <c r="J232" i="13"/>
  <c r="J45" i="13"/>
  <c r="J97" i="13"/>
  <c r="J214" i="13"/>
  <c r="J27" i="13"/>
  <c r="J79" i="13"/>
  <c r="J147" i="13"/>
  <c r="J9" i="13"/>
  <c r="J77" i="13"/>
  <c r="J129" i="13"/>
  <c r="J7" i="13"/>
  <c r="J59" i="13"/>
  <c r="J111" i="13"/>
  <c r="J179" i="13"/>
  <c r="J515" i="13"/>
  <c r="J39" i="13"/>
  <c r="J124" i="13"/>
  <c r="J209" i="13"/>
  <c r="J191" i="13"/>
  <c r="J165" i="13"/>
  <c r="J223" i="13"/>
  <c r="J221" i="13"/>
  <c r="J203" i="13"/>
  <c r="J14" i="13"/>
  <c r="J48" i="13"/>
  <c r="J46" i="13"/>
  <c r="J80" i="13"/>
  <c r="J130" i="13"/>
  <c r="J60" i="13"/>
  <c r="J110" i="13"/>
  <c r="J246" i="13"/>
  <c r="J310" i="13"/>
  <c r="J374" i="13"/>
  <c r="J438" i="13"/>
  <c r="J502" i="13"/>
  <c r="J566" i="13"/>
  <c r="J630" i="13"/>
  <c r="J694" i="13"/>
  <c r="J758" i="13"/>
  <c r="J822" i="13"/>
  <c r="J359" i="13"/>
  <c r="J423" i="13"/>
  <c r="J487" i="13"/>
  <c r="J551" i="13"/>
  <c r="J615" i="13"/>
  <c r="J679" i="13"/>
  <c r="J759" i="13"/>
  <c r="J247" i="13"/>
  <c r="J311" i="13"/>
  <c r="J839" i="13"/>
  <c r="J296" i="13"/>
  <c r="J360" i="13"/>
  <c r="J424" i="13"/>
  <c r="J488" i="13"/>
  <c r="J552" i="13"/>
  <c r="J616" i="13"/>
  <c r="J680" i="13"/>
  <c r="J744" i="13"/>
  <c r="J808" i="13"/>
  <c r="J602" i="13"/>
  <c r="J794" i="13"/>
  <c r="J233" i="13"/>
  <c r="J297" i="13"/>
  <c r="J361" i="13"/>
  <c r="J425" i="13"/>
  <c r="J489" i="13"/>
  <c r="J553" i="13"/>
  <c r="J617" i="13"/>
  <c r="J681" i="13"/>
  <c r="J745" i="13"/>
  <c r="J809" i="13"/>
  <c r="J618" i="13"/>
  <c r="J778" i="13"/>
  <c r="J234" i="13"/>
  <c r="J298" i="13"/>
  <c r="J362" i="13"/>
  <c r="J426" i="13"/>
  <c r="J490" i="13"/>
  <c r="J586" i="13"/>
  <c r="J810" i="13"/>
  <c r="J267" i="13"/>
  <c r="J331" i="13"/>
  <c r="J395" i="13"/>
  <c r="J459" i="13"/>
  <c r="J523" i="13"/>
  <c r="J587" i="13"/>
  <c r="J651" i="13"/>
  <c r="J715" i="13"/>
  <c r="J779" i="13"/>
  <c r="J843" i="13"/>
  <c r="J751" i="13"/>
  <c r="J802" i="13"/>
  <c r="J835" i="13"/>
  <c r="J677" i="13"/>
  <c r="J268" i="13"/>
  <c r="J332" i="13"/>
  <c r="J396" i="13"/>
  <c r="J460" i="13"/>
  <c r="J524" i="13"/>
  <c r="J588" i="13"/>
  <c r="J652" i="13"/>
  <c r="J716" i="13"/>
  <c r="J796" i="13"/>
  <c r="J847" i="13"/>
  <c r="J786" i="13"/>
  <c r="J485" i="13"/>
  <c r="J269" i="13"/>
  <c r="J333" i="13"/>
  <c r="J397" i="13"/>
  <c r="J461" i="13"/>
  <c r="J525" i="13"/>
  <c r="J589" i="13"/>
  <c r="J653" i="13"/>
  <c r="J717" i="13"/>
  <c r="J781" i="13"/>
  <c r="J845" i="13"/>
  <c r="J735" i="13"/>
  <c r="J722" i="13"/>
  <c r="J788" i="13"/>
  <c r="J238" i="13"/>
  <c r="J302" i="13"/>
  <c r="J366" i="13"/>
  <c r="J430" i="13"/>
  <c r="J494" i="13"/>
  <c r="J558" i="13"/>
  <c r="J622" i="13"/>
  <c r="J686" i="13"/>
  <c r="J750" i="13"/>
  <c r="J783" i="13"/>
  <c r="J547" i="13"/>
  <c r="J501" i="13"/>
  <c r="J255" i="13"/>
  <c r="J319" i="13"/>
  <c r="J383" i="13"/>
  <c r="J447" i="13"/>
  <c r="J511" i="13"/>
  <c r="J575" i="13"/>
  <c r="J639" i="13"/>
  <c r="J703" i="13"/>
  <c r="J723" i="13"/>
  <c r="J597" i="13"/>
  <c r="J272" i="13"/>
  <c r="J336" i="13"/>
  <c r="J400" i="13"/>
  <c r="J464" i="13"/>
  <c r="J528" i="13"/>
  <c r="J592" i="13"/>
  <c r="J656" i="13"/>
  <c r="J720" i="13"/>
  <c r="J784" i="13"/>
  <c r="J848" i="13"/>
  <c r="J849" i="13"/>
  <c r="J804" i="13"/>
  <c r="J241" i="13"/>
  <c r="J305" i="13"/>
  <c r="J369" i="13"/>
  <c r="J433" i="13"/>
  <c r="J497" i="13"/>
  <c r="J577" i="13"/>
  <c r="J689" i="13"/>
  <c r="J787" i="13"/>
  <c r="J565" i="13"/>
  <c r="J274" i="13"/>
  <c r="J338" i="13"/>
  <c r="J402" i="13"/>
  <c r="J466" i="13"/>
  <c r="J530" i="13"/>
  <c r="J594" i="13"/>
  <c r="J658" i="13"/>
  <c r="J643" i="13"/>
  <c r="J837" i="13"/>
  <c r="J291" i="13"/>
  <c r="J355" i="13"/>
  <c r="J419" i="13"/>
  <c r="J483" i="13"/>
  <c r="J659" i="13"/>
  <c r="J244" i="13"/>
  <c r="J308" i="13"/>
  <c r="J372" i="13"/>
  <c r="J436" i="13"/>
  <c r="J500" i="13"/>
  <c r="J564" i="13"/>
  <c r="J628" i="13"/>
  <c r="J692" i="13"/>
  <c r="J772" i="13"/>
  <c r="J581" i="13"/>
  <c r="J40" i="13"/>
  <c r="J92" i="13"/>
  <c r="J144" i="13"/>
  <c r="J212" i="13"/>
  <c r="J57" i="13"/>
  <c r="J125" i="13"/>
  <c r="J177" i="13"/>
  <c r="J38" i="13"/>
  <c r="J90" i="13"/>
  <c r="J158" i="13"/>
  <c r="J210" i="13"/>
  <c r="J71" i="13"/>
  <c r="J123" i="13"/>
  <c r="J175" i="13"/>
  <c r="J37" i="13"/>
  <c r="J105" i="13"/>
  <c r="J173" i="13"/>
  <c r="J225" i="13"/>
  <c r="J103" i="13"/>
  <c r="J155" i="13"/>
  <c r="J207" i="13"/>
  <c r="J36" i="13"/>
  <c r="J137" i="13"/>
  <c r="J205" i="13"/>
  <c r="J18" i="13"/>
  <c r="J135" i="13"/>
  <c r="J187" i="13"/>
  <c r="J53" i="13"/>
  <c r="J68" i="13"/>
  <c r="J169" i="13"/>
  <c r="J85" i="13"/>
  <c r="J50" i="13"/>
  <c r="J167" i="13"/>
  <c r="J219" i="13"/>
  <c r="J32" i="13"/>
  <c r="J100" i="13"/>
  <c r="J201" i="13"/>
  <c r="J30" i="13"/>
  <c r="J82" i="13"/>
  <c r="J199" i="13"/>
  <c r="J12" i="13"/>
  <c r="J64" i="13"/>
  <c r="J132" i="13"/>
  <c r="J181" i="13"/>
  <c r="J62" i="13"/>
  <c r="J114" i="13"/>
  <c r="J231" i="13"/>
  <c r="J44" i="13"/>
  <c r="J96" i="13"/>
  <c r="J164" i="13"/>
  <c r="J26" i="13"/>
  <c r="J94" i="13"/>
  <c r="J146" i="13"/>
  <c r="J24" i="13"/>
  <c r="J76" i="13"/>
  <c r="J128" i="13"/>
  <c r="J196" i="13"/>
  <c r="J101" i="13"/>
  <c r="J218" i="13"/>
  <c r="J99" i="13"/>
  <c r="J29" i="13"/>
  <c r="J81" i="13"/>
  <c r="J11" i="13"/>
  <c r="J63" i="13"/>
  <c r="J213" i="13"/>
  <c r="J113" i="13"/>
  <c r="J230" i="13"/>
  <c r="J95" i="13"/>
  <c r="J163" i="13"/>
  <c r="J93" i="13"/>
  <c r="J145" i="13"/>
  <c r="J496" i="13"/>
  <c r="J434" i="13"/>
  <c r="J626" i="13"/>
  <c r="J259" i="13"/>
  <c r="J451" i="13"/>
  <c r="J276" i="13"/>
  <c r="J468" i="13"/>
  <c r="J596" i="13"/>
  <c r="J357" i="13"/>
  <c r="J126" i="13"/>
  <c r="J91" i="13"/>
  <c r="J72" i="13"/>
  <c r="J149" i="13"/>
  <c r="J87" i="13"/>
  <c r="J20" i="13"/>
  <c r="J119" i="13"/>
  <c r="J153" i="13"/>
  <c r="J151" i="13"/>
  <c r="J185" i="13"/>
  <c r="J66" i="13"/>
  <c r="J116" i="13"/>
  <c r="J98" i="13"/>
  <c r="J148" i="13"/>
  <c r="J8" i="13"/>
  <c r="J42" i="13"/>
  <c r="J5" i="13"/>
  <c r="M4" i="13" l="1"/>
  <c r="X1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J1" authorId="0" shapeId="0" xr:uid="{AD79E343-0EDE-4765-A885-05616EF5256F}">
      <text>
        <r>
          <rPr>
            <sz val="9"/>
            <color indexed="81"/>
            <rFont val="Tahoma"/>
            <family val="2"/>
          </rPr>
          <t xml:space="preserve">To see the data, unprotect this sheet and click the "+" sign above.
</t>
        </r>
      </text>
    </comment>
    <comment ref="R18" authorId="0" shapeId="0" xr:uid="{F6D00ABF-50EB-4C76-821D-0593268A21B7}">
      <text>
        <r>
          <rPr>
            <sz val="9"/>
            <color indexed="81"/>
            <rFont val="Tahoma"/>
            <family val="2"/>
          </rPr>
          <t>Smallest value at or above this cutoff.</t>
        </r>
      </text>
    </comment>
    <comment ref="R19" authorId="0" shapeId="0" xr:uid="{88B50304-C09D-4352-BE92-F47ACC5B7BAF}">
      <text>
        <r>
          <rPr>
            <sz val="9"/>
            <color indexed="81"/>
            <rFont val="Tahoma"/>
            <family val="2"/>
          </rPr>
          <t>Largest value at or below this cutoff.</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<sst xmlns="http://schemas.openxmlformats.org/spreadsheetml/2006/main" count="16936" uniqueCount="1993">
  <si>
    <t>Background Metals in Soil and Sediment at North Carolina CERCLIS Sites</t>
  </si>
  <si>
    <t>NC DEQ Division of Waste Management</t>
  </si>
  <si>
    <t>Original Data</t>
  </si>
  <si>
    <t>Obs</t>
  </si>
  <si>
    <t>County</t>
  </si>
  <si>
    <t>Soil Depth</t>
  </si>
  <si>
    <t>Detect</t>
  </si>
  <si>
    <t>J</t>
  </si>
  <si>
    <t>U</t>
  </si>
  <si>
    <t>Raw</t>
  </si>
  <si>
    <t>All Data</t>
  </si>
  <si>
    <t>Detects</t>
  </si>
  <si>
    <t>Pb</t>
  </si>
  <si>
    <t xml:space="preserve">Non-detects: </t>
  </si>
  <si>
    <t>Included</t>
  </si>
  <si>
    <t xml:space="preserve">Percentile: </t>
  </si>
  <si>
    <t xml:space="preserve">Walsh Outliers: </t>
  </si>
  <si>
    <t>Excluded</t>
  </si>
  <si>
    <t>Summary of All Data</t>
  </si>
  <si>
    <t>Statistic</t>
  </si>
  <si>
    <t>Value</t>
  </si>
  <si>
    <t>Count</t>
  </si>
  <si>
    <t>Q1 (25th %)</t>
  </si>
  <si>
    <t xml:space="preserve">Total (N) </t>
  </si>
  <si>
    <t xml:space="preserve">Median </t>
  </si>
  <si>
    <t>Median</t>
  </si>
  <si>
    <t xml:space="preserve">Detects </t>
  </si>
  <si>
    <t>Q3 (75th %)</t>
  </si>
  <si>
    <t xml:space="preserve">Non-detects </t>
  </si>
  <si>
    <t>Bot. Whisker</t>
  </si>
  <si>
    <t xml:space="preserve">Missing </t>
  </si>
  <si>
    <t>Top Whisker</t>
  </si>
  <si>
    <t>Box</t>
  </si>
  <si>
    <t>IQR (Q3 - Q1)</t>
  </si>
  <si>
    <t xml:space="preserve">Mean </t>
  </si>
  <si>
    <t>Sample Type</t>
  </si>
  <si>
    <t>Box line</t>
  </si>
  <si>
    <t xml:space="preserve">Std Dev </t>
  </si>
  <si>
    <t>Q1 - 1.5*IQR</t>
  </si>
  <si>
    <t xml:space="preserve">Max </t>
  </si>
  <si>
    <t>Q3 + 1.5*IQR</t>
  </si>
  <si>
    <t xml:space="preserve">Min </t>
  </si>
  <si>
    <t>X</t>
  </si>
  <si>
    <t>Mean</t>
  </si>
  <si>
    <t>o</t>
  </si>
  <si>
    <t>Outlier</t>
  </si>
  <si>
    <t>*</t>
  </si>
  <si>
    <t>Indicates Walsh outliers</t>
  </si>
  <si>
    <t xml:space="preserve">All Data: </t>
  </si>
  <si>
    <t>Missing values removed, non-detects coded with the minimum detect value (Walsh outliers optional).</t>
  </si>
  <si>
    <t xml:space="preserve">Detects: </t>
  </si>
  <si>
    <t>Detect data only (non-detects always excluded with Walsh outliers optional).</t>
  </si>
  <si>
    <t xml:space="preserve">Raw Data: </t>
  </si>
  <si>
    <t>Complete data is represented including outliers (non-detect = -999, missing = -888).</t>
  </si>
  <si>
    <t>[Test Calculations based on Paper]</t>
  </si>
  <si>
    <t>Mean:</t>
  </si>
  <si>
    <t>Metal:</t>
  </si>
  <si>
    <t>A Macro for Calculating Summary Statistics on Left Censored</t>
  </si>
  <si>
    <t>Std Dev:</t>
  </si>
  <si>
    <t>y</t>
  </si>
  <si>
    <t>m</t>
  </si>
  <si>
    <t>n</t>
  </si>
  <si>
    <t>F(y)</t>
  </si>
  <si>
    <t>(y(i+1)-yi)*F(y)</t>
  </si>
  <si>
    <t>a</t>
  </si>
  <si>
    <t>mu calc</t>
  </si>
  <si>
    <t>sigma calc</t>
  </si>
  <si>
    <t>Environmental Data using the Kaplan-Meier Method</t>
  </si>
  <si>
    <t>Dennis Beal, Ph.D.</t>
  </si>
  <si>
    <t>From Paper</t>
  </si>
  <si>
    <t xml:space="preserve"> &lt;-- Deleted Cell</t>
  </si>
  <si>
    <t>Abbreviation</t>
  </si>
  <si>
    <t>Al</t>
  </si>
  <si>
    <t>As</t>
  </si>
  <si>
    <t>Ba</t>
  </si>
  <si>
    <t>Cd</t>
  </si>
  <si>
    <t>Ca</t>
  </si>
  <si>
    <t>Cr</t>
  </si>
  <si>
    <t>Co</t>
  </si>
  <si>
    <t>Cu</t>
  </si>
  <si>
    <t>Fe</t>
  </si>
  <si>
    <t>Mg</t>
  </si>
  <si>
    <t>Mn</t>
  </si>
  <si>
    <t>Ni</t>
  </si>
  <si>
    <t>K</t>
  </si>
  <si>
    <t>Na</t>
  </si>
  <si>
    <t>V</t>
  </si>
  <si>
    <t>Zn</t>
  </si>
  <si>
    <t>Hg</t>
  </si>
  <si>
    <t>Metal</t>
  </si>
  <si>
    <t>Aluminum</t>
  </si>
  <si>
    <t>Arsenic</t>
  </si>
  <si>
    <t>Barium</t>
  </si>
  <si>
    <t>Cadmium</t>
  </si>
  <si>
    <t>Calcium</t>
  </si>
  <si>
    <t>Chromium</t>
  </si>
  <si>
    <t>Cobalt</t>
  </si>
  <si>
    <t>Copper</t>
  </si>
  <si>
    <t>Iron</t>
  </si>
  <si>
    <t>Lead</t>
  </si>
  <si>
    <t>Magnesium</t>
  </si>
  <si>
    <t>Manganese</t>
  </si>
  <si>
    <t>Nickel</t>
  </si>
  <si>
    <t>Potassium</t>
  </si>
  <si>
    <t>Sodium</t>
  </si>
  <si>
    <t>Vanadium</t>
  </si>
  <si>
    <t>Zinc</t>
  </si>
  <si>
    <t>Mercury</t>
  </si>
  <si>
    <t>Walsh Outlier</t>
  </si>
  <si>
    <t>State</t>
  </si>
  <si>
    <t>Boxplot</t>
  </si>
  <si>
    <t>North Carolina</t>
  </si>
  <si>
    <t xml:space="preserve">Outlier Cut-off: </t>
  </si>
  <si>
    <t xml:space="preserve">Chart Title: </t>
  </si>
  <si>
    <t xml:space="preserve">Detect Limit: </t>
  </si>
  <si>
    <t xml:space="preserve">Position of Metal: </t>
  </si>
  <si>
    <t>Outlier Label 1</t>
  </si>
  <si>
    <t>Outlier Label 2</t>
  </si>
  <si>
    <t>Map Label:</t>
  </si>
  <si>
    <t>Boxplot Label:</t>
  </si>
  <si>
    <t>Percentile Digits:</t>
  </si>
  <si>
    <t>Percentile Label:</t>
  </si>
  <si>
    <t>Nonparm Label:</t>
  </si>
  <si>
    <t>Wrong</t>
  </si>
  <si>
    <t>Correct</t>
  </si>
  <si>
    <t xml:space="preserve">Mis-spelled: </t>
  </si>
  <si>
    <t>Coloumbus</t>
  </si>
  <si>
    <t>Columbus</t>
  </si>
  <si>
    <t>Hickory</t>
  </si>
  <si>
    <t>Catawba</t>
  </si>
  <si>
    <t>&lt;= Hickory not even a county</t>
  </si>
  <si>
    <t>Irdell</t>
  </si>
  <si>
    <t>Iredell</t>
  </si>
  <si>
    <t>Johnson</t>
  </si>
  <si>
    <t>Johnston</t>
  </si>
  <si>
    <t>Mecklenberg</t>
  </si>
  <si>
    <t>Mecklenburg</t>
  </si>
  <si>
    <t>Mecklendurg</t>
  </si>
  <si>
    <t>Chart Legend:</t>
  </si>
  <si>
    <t>SD</t>
  </si>
  <si>
    <t>SS</t>
  </si>
  <si>
    <t>SB</t>
  </si>
  <si>
    <t>Check Boxes:</t>
  </si>
  <si>
    <t>Show Map:</t>
  </si>
  <si>
    <t>EPA ID</t>
  </si>
  <si>
    <t>Site Name</t>
  </si>
  <si>
    <t xml:space="preserve">City </t>
  </si>
  <si>
    <t>Rural/Urban</t>
  </si>
  <si>
    <t>Sample ID</t>
  </si>
  <si>
    <t>NCD041230418</t>
  </si>
  <si>
    <t>AMP INC</t>
  </si>
  <si>
    <t>Winston-Salem</t>
  </si>
  <si>
    <t>Forsyth</t>
  </si>
  <si>
    <t>SF</t>
  </si>
  <si>
    <t>AM-SD-01</t>
  </si>
  <si>
    <t>#</t>
  </si>
  <si>
    <t>NCN000407333</t>
  </si>
  <si>
    <t>Triad Used Auto Sales</t>
  </si>
  <si>
    <t>Greensboro</t>
  </si>
  <si>
    <t>Guilford</t>
  </si>
  <si>
    <t>TUA-017-SS</t>
  </si>
  <si>
    <t>TUA-008-SD</t>
  </si>
  <si>
    <t xml:space="preserve">Triad Used Auto Sales </t>
  </si>
  <si>
    <t>TUA-009-SD</t>
  </si>
  <si>
    <t>NCN000407205</t>
  </si>
  <si>
    <t>Tri-County Airport</t>
  </si>
  <si>
    <t>Aulander</t>
  </si>
  <si>
    <t>Hertford</t>
  </si>
  <si>
    <t>R</t>
  </si>
  <si>
    <t>TCA-007-SS</t>
  </si>
  <si>
    <t>AMP, Inc</t>
  </si>
  <si>
    <t>AM-SB-01</t>
  </si>
  <si>
    <t>TCA-008-SS</t>
  </si>
  <si>
    <t>TCA-013-SD</t>
  </si>
  <si>
    <t xml:space="preserve"> </t>
  </si>
  <si>
    <t>TCA-014-SD</t>
  </si>
  <si>
    <t>TCA-016-SD</t>
  </si>
  <si>
    <t>TCA-017-SD</t>
  </si>
  <si>
    <t>NCD980844336</t>
  </si>
  <si>
    <t>Union Carbide Corp Battery Disposal Site</t>
  </si>
  <si>
    <t>Charlotte</t>
  </si>
  <si>
    <t>UNC-BG-SS01</t>
  </si>
  <si>
    <t>NCD003183480</t>
  </si>
  <si>
    <t>Union Camp Corp</t>
  </si>
  <si>
    <t>Smithfield</t>
  </si>
  <si>
    <t xml:space="preserve">Johnston </t>
  </si>
  <si>
    <t>UJSS01</t>
  </si>
  <si>
    <t>background sediment</t>
  </si>
  <si>
    <t>NCD980503163</t>
  </si>
  <si>
    <t>Union County Muncipal Landfill</t>
  </si>
  <si>
    <t>Monroe</t>
  </si>
  <si>
    <t>Union</t>
  </si>
  <si>
    <t>UCL016SB</t>
  </si>
  <si>
    <t>Union County Municipal Landfill</t>
  </si>
  <si>
    <t>UCL016SS</t>
  </si>
  <si>
    <t>UCLO17SS</t>
  </si>
  <si>
    <t>UCL017SB</t>
  </si>
  <si>
    <t>NCD024600579</t>
  </si>
  <si>
    <t>Superior Products Company</t>
  </si>
  <si>
    <t>SP-SD-01</t>
  </si>
  <si>
    <t>NCD024460579</t>
  </si>
  <si>
    <t>SP-SS-01</t>
  </si>
  <si>
    <t>NCD986188878</t>
  </si>
  <si>
    <t>Supreme Finishing</t>
  </si>
  <si>
    <t>Durham</t>
  </si>
  <si>
    <t>SF-001-SD</t>
  </si>
  <si>
    <t>Sumpreme Finishing</t>
  </si>
  <si>
    <t>SF-101-SD</t>
  </si>
  <si>
    <t>NCD982115370</t>
  </si>
  <si>
    <t>Triple Plating</t>
  </si>
  <si>
    <t>Thomasville</t>
  </si>
  <si>
    <t>Davidson</t>
  </si>
  <si>
    <t>TP-010-SD</t>
  </si>
  <si>
    <t>NCD003229762</t>
  </si>
  <si>
    <t>Structural Wood Preserving Company</t>
  </si>
  <si>
    <t>Coleridge</t>
  </si>
  <si>
    <t>Randolph</t>
  </si>
  <si>
    <t>SW-SS-01</t>
  </si>
  <si>
    <t>SW-SB-01</t>
  </si>
  <si>
    <t>SW-SD-01</t>
  </si>
  <si>
    <t>NCD084167444</t>
  </si>
  <si>
    <t>Stanadyne Inc.</t>
  </si>
  <si>
    <t>Jacksonville</t>
  </si>
  <si>
    <t>Onslow</t>
  </si>
  <si>
    <t>SI-SS-01</t>
  </si>
  <si>
    <t>Stanadyne, Inc</t>
  </si>
  <si>
    <t>SI-SB-01</t>
  </si>
  <si>
    <t>SI-SD-01</t>
  </si>
  <si>
    <t>NCD091567065</t>
  </si>
  <si>
    <t>Washington</t>
  </si>
  <si>
    <t>Beaufort</t>
  </si>
  <si>
    <t>SA-SS-01</t>
  </si>
  <si>
    <t>SA-SD-01</t>
  </si>
  <si>
    <t>NCD105797922</t>
  </si>
  <si>
    <t>Technibilt</t>
  </si>
  <si>
    <t>Newton</t>
  </si>
  <si>
    <t>TD-SS-01</t>
  </si>
  <si>
    <t>TD-SB-01</t>
  </si>
  <si>
    <t>NCD000828566</t>
  </si>
  <si>
    <t>Tartan Marine Property</t>
  </si>
  <si>
    <t>Hamlet</t>
  </si>
  <si>
    <t>Richmond</t>
  </si>
  <si>
    <t>TM-001-SS</t>
  </si>
  <si>
    <t>TM-101-SS</t>
  </si>
  <si>
    <t>TM-001-SL</t>
  </si>
  <si>
    <t>TM-101-SL</t>
  </si>
  <si>
    <t>TM-001-SD</t>
  </si>
  <si>
    <t>NC3120000002</t>
  </si>
  <si>
    <t>Swain County LF</t>
  </si>
  <si>
    <t>Bryson City</t>
  </si>
  <si>
    <t>Swain</t>
  </si>
  <si>
    <t>SCL-004-SD</t>
  </si>
  <si>
    <t>NCD991278730</t>
  </si>
  <si>
    <t>E.R. Squibb &amp; Sons</t>
  </si>
  <si>
    <t>Kenly</t>
  </si>
  <si>
    <t>SQSED01</t>
  </si>
  <si>
    <t>SQSS01</t>
  </si>
  <si>
    <t>SQSB01</t>
  </si>
  <si>
    <t>NCD045451473</t>
  </si>
  <si>
    <t>Ace Chemical Corporation</t>
  </si>
  <si>
    <t>AC-S-1</t>
  </si>
  <si>
    <t>NCD045924339</t>
  </si>
  <si>
    <t>ACME United Corporation</t>
  </si>
  <si>
    <t>Fremont</t>
  </si>
  <si>
    <t>Wayne</t>
  </si>
  <si>
    <t>AU-3</t>
  </si>
  <si>
    <t>NCD024583288</t>
  </si>
  <si>
    <t>Air Products Inc</t>
  </si>
  <si>
    <t>S-1</t>
  </si>
  <si>
    <t>NCD071567374</t>
  </si>
  <si>
    <t>AGRICO Chemical Co. #2</t>
  </si>
  <si>
    <t>AG-SS-01</t>
  </si>
  <si>
    <t>NCD002464691</t>
  </si>
  <si>
    <t>Alliance Carolina Tool and Mold</t>
  </si>
  <si>
    <t>Arden</t>
  </si>
  <si>
    <t>Buncombe</t>
  </si>
  <si>
    <t>AC-3</t>
  </si>
  <si>
    <t>NCSFN0407143</t>
  </si>
  <si>
    <t>American Elements</t>
  </si>
  <si>
    <t>Farmville</t>
  </si>
  <si>
    <t>Pitt</t>
  </si>
  <si>
    <t>AES-003-SD</t>
  </si>
  <si>
    <t>NCD052813250</t>
  </si>
  <si>
    <t>American Enka Co</t>
  </si>
  <si>
    <t xml:space="preserve">Enka </t>
  </si>
  <si>
    <t xml:space="preserve">Buncombe </t>
  </si>
  <si>
    <t>AEC-003-SD</t>
  </si>
  <si>
    <t>Enka</t>
  </si>
  <si>
    <t>AEC-004-SD</t>
  </si>
  <si>
    <t>NCD040049173</t>
  </si>
  <si>
    <t>Amoco Oil Co.</t>
  </si>
  <si>
    <t>Wilmington</t>
  </si>
  <si>
    <t>New Hanover</t>
  </si>
  <si>
    <t>AO-SS-01</t>
  </si>
  <si>
    <t>Amoco Oil Company</t>
  </si>
  <si>
    <t>AO-SB-01</t>
  </si>
  <si>
    <t>NCD033978396</t>
  </si>
  <si>
    <t>ATEC Industries Site</t>
  </si>
  <si>
    <t>Roxboro</t>
  </si>
  <si>
    <t>Person</t>
  </si>
  <si>
    <t>AT-001-SL</t>
  </si>
  <si>
    <t>NCD981022015</t>
  </si>
  <si>
    <t>J. P. Aydolette Estate</t>
  </si>
  <si>
    <t>Earl</t>
  </si>
  <si>
    <t>Cleveland</t>
  </si>
  <si>
    <t>1A</t>
  </si>
  <si>
    <t>NCD003167780</t>
  </si>
  <si>
    <t>Sprague Aluminum Co.</t>
  </si>
  <si>
    <t>Lansing</t>
  </si>
  <si>
    <t>Ashe</t>
  </si>
  <si>
    <t>SA-001-SD</t>
  </si>
  <si>
    <t>SA-002-SD</t>
  </si>
  <si>
    <t>SA-102-SD</t>
  </si>
  <si>
    <t>SA-003-SD</t>
  </si>
  <si>
    <t>SA-009-SB</t>
  </si>
  <si>
    <t>Sprague Electric Company</t>
  </si>
  <si>
    <t xml:space="preserve">Lansing </t>
  </si>
  <si>
    <t xml:space="preserve">Ashe </t>
  </si>
  <si>
    <t>SE-SS-01</t>
  </si>
  <si>
    <t>SE-SD-01</t>
  </si>
  <si>
    <t>SE-SB-01</t>
  </si>
  <si>
    <t>NCD986166163</t>
  </si>
  <si>
    <t>Don Jennings Property</t>
  </si>
  <si>
    <t>Elizabeth City</t>
  </si>
  <si>
    <t>Pasquotank</t>
  </si>
  <si>
    <t>JSS-9</t>
  </si>
  <si>
    <t>JSS-10</t>
  </si>
  <si>
    <t>JSS-11</t>
  </si>
  <si>
    <t>JSS-12</t>
  </si>
  <si>
    <t>JSS-13</t>
  </si>
  <si>
    <t>NCD024766719</t>
  </si>
  <si>
    <t>Wright Chemical Corporation</t>
  </si>
  <si>
    <t>Riegelwood</t>
  </si>
  <si>
    <t>WC-SS-01</t>
  </si>
  <si>
    <t>WC-SD-01</t>
  </si>
  <si>
    <t>NCD048958615</t>
  </si>
  <si>
    <t>Kelly Springfield Tire Co</t>
  </si>
  <si>
    <t>Fayetteville</t>
  </si>
  <si>
    <t>Cumberland</t>
  </si>
  <si>
    <t>#4</t>
  </si>
  <si>
    <t>NCD980557805</t>
  </si>
  <si>
    <t>Kerr-McGee Chemical Corp</t>
  </si>
  <si>
    <t>Navassa</t>
  </si>
  <si>
    <t>Brunswick</t>
  </si>
  <si>
    <t>Sample #1</t>
  </si>
  <si>
    <t>NCD080891039</t>
  </si>
  <si>
    <t>Lackey Industrial Warehouse</t>
  </si>
  <si>
    <t>Whiteville</t>
  </si>
  <si>
    <t>LISS01</t>
  </si>
  <si>
    <t>SED-01</t>
  </si>
  <si>
    <t>NCN000410098</t>
  </si>
  <si>
    <t>Burlington Rhodhiss</t>
  </si>
  <si>
    <t>Rhodhiss</t>
  </si>
  <si>
    <t>Burke</t>
  </si>
  <si>
    <t>BR-301-SF</t>
  </si>
  <si>
    <t>BR-101-SF</t>
  </si>
  <si>
    <t>BR-204-SD</t>
  </si>
  <si>
    <t>BR-104-SD</t>
  </si>
  <si>
    <t>BR-011-SD</t>
  </si>
  <si>
    <t>NC0001329507</t>
  </si>
  <si>
    <t>Lake Wylie - Brown's Cove</t>
  </si>
  <si>
    <t>LW-001-SL</t>
  </si>
  <si>
    <t>NC000132507</t>
  </si>
  <si>
    <t>LW-005-SD</t>
  </si>
  <si>
    <t>NCD981863814</t>
  </si>
  <si>
    <t>Lancaster Plating Site</t>
  </si>
  <si>
    <t>Lillington</t>
  </si>
  <si>
    <t>Harnett</t>
  </si>
  <si>
    <t>LP-001-SB</t>
  </si>
  <si>
    <t>LP-006-SD</t>
  </si>
  <si>
    <t>NCD053528170</t>
  </si>
  <si>
    <t>Laurens Glass</t>
  </si>
  <si>
    <t>Henderson</t>
  </si>
  <si>
    <t>Vance</t>
  </si>
  <si>
    <t>LG-SED-01</t>
  </si>
  <si>
    <t>LG-SS-01</t>
  </si>
  <si>
    <t>NCD981031511</t>
  </si>
  <si>
    <t>Love Battery</t>
  </si>
  <si>
    <t>Concord</t>
  </si>
  <si>
    <t>Cabarrus</t>
  </si>
  <si>
    <t>Background Soil</t>
  </si>
  <si>
    <t>NCD986172500</t>
  </si>
  <si>
    <t>McLean Brothers Farm</t>
  </si>
  <si>
    <t>Wagram</t>
  </si>
  <si>
    <t>Scotland</t>
  </si>
  <si>
    <t>MF-004-SL</t>
  </si>
  <si>
    <t>MF-007-SL</t>
  </si>
  <si>
    <t>NCSFN0407074</t>
  </si>
  <si>
    <t>NC Maritime Museum</t>
  </si>
  <si>
    <t>Carteret</t>
  </si>
  <si>
    <t>NM-01-SD</t>
  </si>
  <si>
    <t>NM-02-SD</t>
  </si>
  <si>
    <t>NM-01-SSD</t>
  </si>
  <si>
    <t>NM-02-SSD</t>
  </si>
  <si>
    <t>MM-06-SD</t>
  </si>
  <si>
    <t>MM-07-SD</t>
  </si>
  <si>
    <t>MM-06-SSD</t>
  </si>
  <si>
    <t>MM-07-SSD</t>
  </si>
  <si>
    <t>NCSFN0406973</t>
  </si>
  <si>
    <t>Northeast Chemical Company Site</t>
  </si>
  <si>
    <t>NC-SS-01</t>
  </si>
  <si>
    <t>Northeast Chemical Company</t>
  </si>
  <si>
    <t>NC-SB-01</t>
  </si>
  <si>
    <t>NCD041466806</t>
  </si>
  <si>
    <t>Phillips Plating Company</t>
  </si>
  <si>
    <t>Bridgeton</t>
  </si>
  <si>
    <t>Craven</t>
  </si>
  <si>
    <t>PP-001-SD</t>
  </si>
  <si>
    <t>PP-SS-01</t>
  </si>
  <si>
    <t>NCD980557680</t>
  </si>
  <si>
    <t>Pitt County Landfill</t>
  </si>
  <si>
    <t>Greenville</t>
  </si>
  <si>
    <t>PC-SB-05</t>
  </si>
  <si>
    <t>NCD065300519</t>
  </si>
  <si>
    <t>Schlage Lock Company</t>
  </si>
  <si>
    <t>Rocky Mount</t>
  </si>
  <si>
    <t>Edgecombe</t>
  </si>
  <si>
    <t>#1 BG</t>
  </si>
  <si>
    <t>NCD042269134</t>
  </si>
  <si>
    <t>Southern Fastening Systems</t>
  </si>
  <si>
    <t>Statesville</t>
  </si>
  <si>
    <t>#1 Background</t>
  </si>
  <si>
    <t>NCD024462327</t>
  </si>
  <si>
    <t>Academy Steel Drum</t>
  </si>
  <si>
    <t>Matthews</t>
  </si>
  <si>
    <t>4MC-U</t>
  </si>
  <si>
    <t>ASD-3</t>
  </si>
  <si>
    <t>NCD986180917</t>
  </si>
  <si>
    <t>Spann Property</t>
  </si>
  <si>
    <t>Hendersonville</t>
  </si>
  <si>
    <t>SP-04-SD</t>
  </si>
  <si>
    <t>NCD053488557</t>
  </si>
  <si>
    <t>Southern Wood Piedmont Company</t>
  </si>
  <si>
    <t>Gulf</t>
  </si>
  <si>
    <t>Chatham</t>
  </si>
  <si>
    <t>SW-001-SL</t>
  </si>
  <si>
    <t>SW-002-SL</t>
  </si>
  <si>
    <t>SW-013-SL</t>
  </si>
  <si>
    <t>SW-028-SD</t>
  </si>
  <si>
    <t>B-1</t>
  </si>
  <si>
    <t>B-2</t>
  </si>
  <si>
    <t>B-3</t>
  </si>
  <si>
    <t>B-4</t>
  </si>
  <si>
    <t>B-5</t>
  </si>
  <si>
    <t>B-6</t>
  </si>
  <si>
    <t>NCD980557847</t>
  </si>
  <si>
    <t>Kaiser Acme Farmarket</t>
  </si>
  <si>
    <t>KAF-SS-01</t>
  </si>
  <si>
    <t>KAF-SB-01</t>
  </si>
  <si>
    <t>KAF-SD-01</t>
  </si>
  <si>
    <t>NCD980729677</t>
  </si>
  <si>
    <t>Knob Creek Flyash Landfill</t>
  </si>
  <si>
    <t>Brevard</t>
  </si>
  <si>
    <t>Transylvania</t>
  </si>
  <si>
    <t>NCD981021546</t>
  </si>
  <si>
    <t>Koppers Borrow Pit</t>
  </si>
  <si>
    <t>Ashley Heights</t>
  </si>
  <si>
    <t>Hoke</t>
  </si>
  <si>
    <t>NCD980503015</t>
  </si>
  <si>
    <t>Lee County Landfill</t>
  </si>
  <si>
    <t>Sanford</t>
  </si>
  <si>
    <t>Lee</t>
  </si>
  <si>
    <t>LL-SS-01</t>
  </si>
  <si>
    <t>LL-SB-01</t>
  </si>
  <si>
    <t>LL-SD-01</t>
  </si>
  <si>
    <t>NCD982119638</t>
  </si>
  <si>
    <t>Laurel Springs</t>
  </si>
  <si>
    <t>Alleghany</t>
  </si>
  <si>
    <t>NCD003213568</t>
  </si>
  <si>
    <t>Liberty Furniture Corporation</t>
  </si>
  <si>
    <t>Libery</t>
  </si>
  <si>
    <t>NCD986175628</t>
  </si>
  <si>
    <t>Lee's Motor Works</t>
  </si>
  <si>
    <t>Gastonia</t>
  </si>
  <si>
    <t>Gaston</t>
  </si>
  <si>
    <t>L1</t>
  </si>
  <si>
    <t>NCD079066833</t>
  </si>
  <si>
    <t>Lenoir Refining Company</t>
  </si>
  <si>
    <t>Lenoir</t>
  </si>
  <si>
    <t>Caldwell</t>
  </si>
  <si>
    <t>NCD053486395</t>
  </si>
  <si>
    <t>Metal Plating &amp; Fabricating</t>
  </si>
  <si>
    <t>High Point</t>
  </si>
  <si>
    <t>NCD980503031</t>
  </si>
  <si>
    <t>Milan Yard Landfill</t>
  </si>
  <si>
    <t>MYSS01</t>
  </si>
  <si>
    <t>NCD003215621</t>
  </si>
  <si>
    <t>Miller Desk Inc.</t>
  </si>
  <si>
    <t>NCD042891663</t>
  </si>
  <si>
    <t>Mitchell Engineering Co/CECO Buildings Division</t>
  </si>
  <si>
    <t>Rocky Mounty</t>
  </si>
  <si>
    <t>Nash</t>
  </si>
  <si>
    <t>NCD991277724</t>
  </si>
  <si>
    <t>Mitchell Systems Inc</t>
  </si>
  <si>
    <t>Spruce Pine</t>
  </si>
  <si>
    <t>Mitchell</t>
  </si>
  <si>
    <t>MS-SS-01</t>
  </si>
  <si>
    <t>MS-SB-01</t>
  </si>
  <si>
    <t>MS-SD-01</t>
  </si>
  <si>
    <t>NCD000772046</t>
  </si>
  <si>
    <t>Mobil Oil River Road Terminal</t>
  </si>
  <si>
    <t>NCD000623223</t>
  </si>
  <si>
    <t>Martin Manufacturing Properties</t>
  </si>
  <si>
    <t>Williamston</t>
  </si>
  <si>
    <t>Martin</t>
  </si>
  <si>
    <t>SED-03</t>
  </si>
  <si>
    <t>NCD008839276</t>
  </si>
  <si>
    <t>Money-Worth Inc</t>
  </si>
  <si>
    <t>Swannanoa</t>
  </si>
  <si>
    <t>background</t>
  </si>
  <si>
    <t>NCD981928013</t>
  </si>
  <si>
    <t>Moore County Landfill</t>
  </si>
  <si>
    <t>Aberdeen</t>
  </si>
  <si>
    <t>Moore</t>
  </si>
  <si>
    <t>MC-SB-01</t>
  </si>
  <si>
    <t>MC-SD-01</t>
  </si>
  <si>
    <t>NCD981023732</t>
  </si>
  <si>
    <t>Neuville Sock Property</t>
  </si>
  <si>
    <t>Hildebran</t>
  </si>
  <si>
    <t>NS-SS-01</t>
  </si>
  <si>
    <t>NS-SB-01</t>
  </si>
  <si>
    <t>NS-SD-01</t>
  </si>
  <si>
    <t>NCD075578385</t>
  </si>
  <si>
    <t>Pfizer, Inc</t>
  </si>
  <si>
    <t>Southport</t>
  </si>
  <si>
    <t>OS-2</t>
  </si>
  <si>
    <t>NCD981744713</t>
  </si>
  <si>
    <t>Parker Farm</t>
  </si>
  <si>
    <t>PF-SB-01</t>
  </si>
  <si>
    <t>NCD980557755</t>
  </si>
  <si>
    <t>Owens-Illinois/Salisbury Plant</t>
  </si>
  <si>
    <t>Spencer</t>
  </si>
  <si>
    <t>Rowan</t>
  </si>
  <si>
    <t>NCD98166734</t>
  </si>
  <si>
    <t>Old Beaufort County Landfill</t>
  </si>
  <si>
    <t>BC-SS-01</t>
  </si>
  <si>
    <t>BC-SD-01</t>
  </si>
  <si>
    <t>NCD991278839</t>
  </si>
  <si>
    <t>North State Chemical Company</t>
  </si>
  <si>
    <t>Pleasant Garden</t>
  </si>
  <si>
    <t>NCD980559983</t>
  </si>
  <si>
    <t>PPG Industries, Inc. Works #52</t>
  </si>
  <si>
    <t>Shelby</t>
  </si>
  <si>
    <t>NCD002972966</t>
  </si>
  <si>
    <t>REA Magnet Wire Company</t>
  </si>
  <si>
    <t>Laurinburg</t>
  </si>
  <si>
    <t>RM-001-SS</t>
  </si>
  <si>
    <t>RM-001-SD</t>
  </si>
  <si>
    <t>NCD000605022</t>
  </si>
  <si>
    <t>Plant Manager's Property</t>
  </si>
  <si>
    <t>PM-SS-01</t>
  </si>
  <si>
    <t>PM-SB-01</t>
  </si>
  <si>
    <t>NCD986166379</t>
  </si>
  <si>
    <t>Pilot Mountain Tire Fire</t>
  </si>
  <si>
    <t>Rockford</t>
  </si>
  <si>
    <t>Surry</t>
  </si>
  <si>
    <t>PLM-SD-01</t>
  </si>
  <si>
    <t>NCD059144188</t>
  </si>
  <si>
    <t>Photo Corporation of America</t>
  </si>
  <si>
    <t>ICI Americas Inc</t>
  </si>
  <si>
    <t>NCD980729669</t>
  </si>
  <si>
    <t>Hubert Atkins Property #4</t>
  </si>
  <si>
    <t>HA-SS-01</t>
  </si>
  <si>
    <t>NCD981928021</t>
  </si>
  <si>
    <t>Hollingsworth Property</t>
  </si>
  <si>
    <t>NCD003233673</t>
  </si>
  <si>
    <t>Hoover Repair Shop</t>
  </si>
  <si>
    <t>Mount Airy</t>
  </si>
  <si>
    <t>SS-12</t>
  </si>
  <si>
    <t>NCD082363102</t>
  </si>
  <si>
    <t>Helena Chemical Company</t>
  </si>
  <si>
    <t>HC-SS-01</t>
  </si>
  <si>
    <t>HC-SB-01</t>
  </si>
  <si>
    <t>HC-SD-01</t>
  </si>
  <si>
    <t>NCD980483275</t>
  </si>
  <si>
    <t>Helena Chemical Co</t>
  </si>
  <si>
    <t>Enfield</t>
  </si>
  <si>
    <t>Halifax</t>
  </si>
  <si>
    <t>Hartsoe Brothers</t>
  </si>
  <si>
    <t>Kannapolis</t>
  </si>
  <si>
    <t>NCD108702606</t>
  </si>
  <si>
    <t>#1 Bkgd Soil</t>
  </si>
  <si>
    <t>NCD021388939</t>
  </si>
  <si>
    <t>Harris Battery &amp; Metal Company</t>
  </si>
  <si>
    <t>Salisbury</t>
  </si>
  <si>
    <t>NCD049772023</t>
  </si>
  <si>
    <t>H&amp;S Processors, Inc.</t>
  </si>
  <si>
    <t>Lincolnton</t>
  </si>
  <si>
    <t>Lincoln</t>
  </si>
  <si>
    <t>NCD980557698</t>
  </si>
  <si>
    <t>Greenville City Landfill</t>
  </si>
  <si>
    <t>GCL-SB-01</t>
  </si>
  <si>
    <t>GCL-SS-01</t>
  </si>
  <si>
    <t>NCD003198934</t>
  </si>
  <si>
    <t>Fasco Industries, Inc</t>
  </si>
  <si>
    <t>NCD980557854</t>
  </si>
  <si>
    <t>Niagra Pesticides</t>
  </si>
  <si>
    <t>Ayden</t>
  </si>
  <si>
    <t>NCD071579528</t>
  </si>
  <si>
    <t>Forbush Metal Finishing, Inc.</t>
  </si>
  <si>
    <t>Forbush</t>
  </si>
  <si>
    <t>Yadkin</t>
  </si>
  <si>
    <t>NCD003236437</t>
  </si>
  <si>
    <t>General Electric Co.</t>
  </si>
  <si>
    <t>Asheboro</t>
  </si>
  <si>
    <t>GE-SS-01</t>
  </si>
  <si>
    <t>GE-SB-01</t>
  </si>
  <si>
    <t>GE-SD-01</t>
  </si>
  <si>
    <t>NCD043711977</t>
  </si>
  <si>
    <t>Chemical Leaman Tank Lines, Inc.</t>
  </si>
  <si>
    <t>CL-4</t>
  </si>
  <si>
    <t>NCD980558019</t>
  </si>
  <si>
    <t>Elk Mountain Landfill</t>
  </si>
  <si>
    <t>Elk Mountain</t>
  </si>
  <si>
    <t>EM-CS-01</t>
  </si>
  <si>
    <t>EM-SB-01</t>
  </si>
  <si>
    <t>EM-SD-01</t>
  </si>
  <si>
    <t>NCD006991210</t>
  </si>
  <si>
    <t>DePoortere Corporation</t>
  </si>
  <si>
    <t>NCD001402213</t>
  </si>
  <si>
    <t>Ellis Junkyard Site</t>
  </si>
  <si>
    <t>Hayesville</t>
  </si>
  <si>
    <t>Clay</t>
  </si>
  <si>
    <t>EJ-02-SD</t>
  </si>
  <si>
    <t>NCD075563932</t>
  </si>
  <si>
    <t>ESB, Inc.</t>
  </si>
  <si>
    <t>Raleigh</t>
  </si>
  <si>
    <t>Wake</t>
  </si>
  <si>
    <t>ESB-004-SD</t>
  </si>
  <si>
    <t>ESB-005-SD</t>
  </si>
  <si>
    <t>NCD003190584</t>
  </si>
  <si>
    <t>Everhart Lumber Company</t>
  </si>
  <si>
    <t>New Bern</t>
  </si>
  <si>
    <t>NCD981473150</t>
  </si>
  <si>
    <t>Cherry Mountain Street Drum Site</t>
  </si>
  <si>
    <t>Forest City</t>
  </si>
  <si>
    <t>Rutherford</t>
  </si>
  <si>
    <t>NCD062677273</t>
  </si>
  <si>
    <t>Pender</t>
  </si>
  <si>
    <t>CL-SS-01</t>
  </si>
  <si>
    <t>CL-SB-01</t>
  </si>
  <si>
    <t>NCD982118960</t>
  </si>
  <si>
    <t>Caldwell County Landfill/Mount Herman Rd</t>
  </si>
  <si>
    <t>Lenior</t>
  </si>
  <si>
    <t>CS-SD-01</t>
  </si>
  <si>
    <t>NCD981015886</t>
  </si>
  <si>
    <t>Carolina Production Finishing</t>
  </si>
  <si>
    <t>Asheville</t>
  </si>
  <si>
    <t>NCD003218492</t>
  </si>
  <si>
    <t>Carolina Rubber Hose Company</t>
  </si>
  <si>
    <t>CR-SS-01</t>
  </si>
  <si>
    <t>Cariolina Rubber Hose Company</t>
  </si>
  <si>
    <t>CR-SB-01</t>
  </si>
  <si>
    <t>NCO000183103</t>
  </si>
  <si>
    <t>Chemical Cartage Company</t>
  </si>
  <si>
    <t>Leland</t>
  </si>
  <si>
    <t>CC-001-SS</t>
  </si>
  <si>
    <t>CC-001-SB</t>
  </si>
  <si>
    <t>NCD003467099</t>
  </si>
  <si>
    <t>Cone Mills Corporation Granite Finishing Plant</t>
  </si>
  <si>
    <t>Haw River</t>
  </si>
  <si>
    <t>Alamance</t>
  </si>
  <si>
    <t>CM-SS-01</t>
  </si>
  <si>
    <t>CM-SB-01</t>
  </si>
  <si>
    <t>NCD003223799</t>
  </si>
  <si>
    <t>Clayton-Marcus Company</t>
  </si>
  <si>
    <t>Bethlehem</t>
  </si>
  <si>
    <t>Alexander</t>
  </si>
  <si>
    <t>CM-SD-01</t>
  </si>
  <si>
    <t>NCD003186178</t>
  </si>
  <si>
    <t>Coastal Chemical Corporation</t>
  </si>
  <si>
    <t>CC-SS-01</t>
  </si>
  <si>
    <t>CC-SB-01</t>
  </si>
  <si>
    <t>CC-SD-01</t>
  </si>
  <si>
    <t>NCD067200949</t>
  </si>
  <si>
    <t>Croft Metals, Inc.</t>
  </si>
  <si>
    <t>Lumber Bridge</t>
  </si>
  <si>
    <t>Robeson</t>
  </si>
  <si>
    <t>NCD980838726</t>
  </si>
  <si>
    <t>Davenport Creosote</t>
  </si>
  <si>
    <t>Pinetops</t>
  </si>
  <si>
    <t>NCD044447639</t>
  </si>
  <si>
    <t>Crown Central Petroleum Corporation</t>
  </si>
  <si>
    <t>Paw Creek</t>
  </si>
  <si>
    <t>NCD054417308</t>
  </si>
  <si>
    <t>Coastal Chemcial Corporation</t>
  </si>
  <si>
    <t>Clayton</t>
  </si>
  <si>
    <t>NCD986187110</t>
  </si>
  <si>
    <t>Morningside Drive Drum Site</t>
  </si>
  <si>
    <t>Mount Holly</t>
  </si>
  <si>
    <t>SS-01</t>
  </si>
  <si>
    <t>NCD003520301</t>
  </si>
  <si>
    <t>Overcash Machine Shop</t>
  </si>
  <si>
    <t>BG-1</t>
  </si>
  <si>
    <t>BG-2</t>
  </si>
  <si>
    <t>NCD003464369</t>
  </si>
  <si>
    <t>IMC Rainbow Facility</t>
  </si>
  <si>
    <t>SB-2</t>
  </si>
  <si>
    <t>NCD067428821</t>
  </si>
  <si>
    <t>Siemans-Allis, Inc.</t>
  </si>
  <si>
    <t>SISS01</t>
  </si>
  <si>
    <t>SISSD01</t>
  </si>
  <si>
    <t>NCD003231545</t>
  </si>
  <si>
    <t>Sherwood Treating Company</t>
  </si>
  <si>
    <t>001-SS</t>
  </si>
  <si>
    <t>001-SD</t>
  </si>
  <si>
    <t>NCD000281832</t>
  </si>
  <si>
    <t>Sanford Plating Company</t>
  </si>
  <si>
    <t>5/SP-BS-1</t>
  </si>
  <si>
    <t>NCD003197704</t>
  </si>
  <si>
    <t>Saltwood Products, Inc.</t>
  </si>
  <si>
    <t>Cove City</t>
  </si>
  <si>
    <t>NCD093334969</t>
  </si>
  <si>
    <t>S &amp; S Metals Recycling Site</t>
  </si>
  <si>
    <t>Gold Hill</t>
  </si>
  <si>
    <t>SS-SED-05</t>
  </si>
  <si>
    <t>NCD981468960</t>
  </si>
  <si>
    <t>Rock Quarry Farm Drum Burial</t>
  </si>
  <si>
    <t>Elm City</t>
  </si>
  <si>
    <t>Wilson</t>
  </si>
  <si>
    <t>NCD980728687</t>
  </si>
  <si>
    <t>Renroh</t>
  </si>
  <si>
    <t>Holly Ridge</t>
  </si>
  <si>
    <t>NCD049845548</t>
  </si>
  <si>
    <t>Reichhold Chemicals, Inc.</t>
  </si>
  <si>
    <t>Moncure</t>
  </si>
  <si>
    <t>SED01</t>
  </si>
  <si>
    <t>NCD980557912</t>
  </si>
  <si>
    <t>Grove Stone Landfill</t>
  </si>
  <si>
    <t>Black Mountain</t>
  </si>
  <si>
    <t>CS-03</t>
  </si>
  <si>
    <t>NCD003196847</t>
  </si>
  <si>
    <t>National Spinning Co</t>
  </si>
  <si>
    <t xml:space="preserve">Washington </t>
  </si>
  <si>
    <t>NCD024477556</t>
  </si>
  <si>
    <t>Winston Container Co</t>
  </si>
  <si>
    <t xml:space="preserve">Charlotte </t>
  </si>
  <si>
    <t>SS-32</t>
  </si>
  <si>
    <t>NCD093334209</t>
  </si>
  <si>
    <t>Wilson, Ralph Plastics Co</t>
  </si>
  <si>
    <t>Fletcher</t>
  </si>
  <si>
    <t>BG-GSS</t>
  </si>
  <si>
    <t>NCD986166759</t>
  </si>
  <si>
    <t>Wilson Septic Pits</t>
  </si>
  <si>
    <t>background soil</t>
  </si>
  <si>
    <t>NCN000407302</t>
  </si>
  <si>
    <t>Wilmington Gun Club</t>
  </si>
  <si>
    <t>WG-008-SD</t>
  </si>
  <si>
    <t>WG-009-SD</t>
  </si>
  <si>
    <t>NCD003151651</t>
  </si>
  <si>
    <t>Williard Smelting Co</t>
  </si>
  <si>
    <t>BG-3</t>
  </si>
  <si>
    <t>SED-2</t>
  </si>
  <si>
    <t>SED-3</t>
  </si>
  <si>
    <t>NCD003220969</t>
  </si>
  <si>
    <t>White Furnature Co</t>
  </si>
  <si>
    <t>Mebane</t>
  </si>
  <si>
    <t>WF-SS-01</t>
  </si>
  <si>
    <t>WF-SB-01</t>
  </si>
  <si>
    <t>NCD980803001</t>
  </si>
  <si>
    <t>Whalehead Beach</t>
  </si>
  <si>
    <t>Corolla</t>
  </si>
  <si>
    <t>Currituck</t>
  </si>
  <si>
    <t>BACKGROUND</t>
  </si>
  <si>
    <t xml:space="preserve">Wilmington </t>
  </si>
  <si>
    <t>BG-4</t>
  </si>
  <si>
    <t>BG-5</t>
  </si>
  <si>
    <t>NCD071567259</t>
  </si>
  <si>
    <t>Weyerhauser Co</t>
  </si>
  <si>
    <t>DA-3S</t>
  </si>
  <si>
    <t>NCD003195963</t>
  </si>
  <si>
    <t>Westinghouse Elec. Meter and Light Div</t>
  </si>
  <si>
    <t>BG1</t>
  </si>
  <si>
    <t>Westinghouse Elec. Meter and Light Div.</t>
  </si>
  <si>
    <t>BG2</t>
  </si>
  <si>
    <t>NCD001493931</t>
  </si>
  <si>
    <t>Weck, Edward A. and Co</t>
  </si>
  <si>
    <t>Research Triangle Park</t>
  </si>
  <si>
    <t>NCD003236841</t>
  </si>
  <si>
    <t>Warlick Paint Co</t>
  </si>
  <si>
    <t>NCD980557623</t>
  </si>
  <si>
    <t>University of NC/Arpt. Waste Disposal Area</t>
  </si>
  <si>
    <t>Chapel Hill</t>
  </si>
  <si>
    <t>Orange</t>
  </si>
  <si>
    <t>NCD082362989</t>
  </si>
  <si>
    <t>Tungsten Queen Mine</t>
  </si>
  <si>
    <t>Townsville</t>
  </si>
  <si>
    <t>TQSS01</t>
  </si>
  <si>
    <t>TQSS06</t>
  </si>
  <si>
    <t>NCD000822957</t>
  </si>
  <si>
    <t>Union Carbide Corp</t>
  </si>
  <si>
    <t>BG-1 (1ft BGS)</t>
  </si>
  <si>
    <t>BG-1 (4ft BGS)</t>
  </si>
  <si>
    <t>BG-1 (15ft BGS)</t>
  </si>
  <si>
    <t>BG-2 (1ft BGS)</t>
  </si>
  <si>
    <t>BG-2 (4ft BGS)</t>
  </si>
  <si>
    <t xml:space="preserve">BG-3 (1ft BGS) </t>
  </si>
  <si>
    <t xml:space="preserve">BG-3 (4ft BGS) </t>
  </si>
  <si>
    <t xml:space="preserve">BG-3 (15ft BGS) </t>
  </si>
  <si>
    <t>NCD059140764</t>
  </si>
  <si>
    <t>Travenol Labs Inc</t>
  </si>
  <si>
    <t xml:space="preserve">Marion </t>
  </si>
  <si>
    <t>McDowell</t>
  </si>
  <si>
    <t>BKGD-1</t>
  </si>
  <si>
    <t>NCN000410007</t>
  </si>
  <si>
    <t>Transylvania Tanning Co</t>
  </si>
  <si>
    <t xml:space="preserve">Transylvania </t>
  </si>
  <si>
    <t>TT-001-SS</t>
  </si>
  <si>
    <t xml:space="preserve">Brevard </t>
  </si>
  <si>
    <t>TT-001-SD</t>
  </si>
  <si>
    <t>NCD095470332</t>
  </si>
  <si>
    <t>Thonit A. Simmons Co</t>
  </si>
  <si>
    <t>TS-SS-01</t>
  </si>
  <si>
    <t>TS-SB-01</t>
  </si>
  <si>
    <t>NCD002560159</t>
  </si>
  <si>
    <t>Thiele-Engdahl</t>
  </si>
  <si>
    <t xml:space="preserve">Winston-Salem </t>
  </si>
  <si>
    <t>#4 Background</t>
  </si>
  <si>
    <t>NCD981474158</t>
  </si>
  <si>
    <t>Sweeten Creek Drum Site</t>
  </si>
  <si>
    <t>NCD980557987</t>
  </si>
  <si>
    <t>Swannanoa Landfill</t>
  </si>
  <si>
    <t>SLSS01</t>
  </si>
  <si>
    <t>NCD986176444</t>
  </si>
  <si>
    <t>Stroh/Chittey Farm</t>
  </si>
  <si>
    <t>BG-1 duplicate</t>
  </si>
  <si>
    <t>NCD083669952</t>
  </si>
  <si>
    <t>Story Burial Areas</t>
  </si>
  <si>
    <t>NCD072012354</t>
  </si>
  <si>
    <t>Singer Co Furnature Div Washington</t>
  </si>
  <si>
    <t>Chocowinity</t>
  </si>
  <si>
    <t>SC-SS-01</t>
  </si>
  <si>
    <t>Sherwood Treating Co Inc</t>
  </si>
  <si>
    <t>NCD000604322</t>
  </si>
  <si>
    <t>Singer Co Furnature Div Plts 3 4 &amp; MH</t>
  </si>
  <si>
    <t>BG-1WT</t>
  </si>
  <si>
    <t>BG-1SP</t>
  </si>
  <si>
    <t>BG1Dup</t>
  </si>
  <si>
    <t>BG2Dup</t>
  </si>
  <si>
    <t>BG2-SP</t>
  </si>
  <si>
    <t>BG2-WT</t>
  </si>
  <si>
    <t>NCD098765506</t>
  </si>
  <si>
    <t>Singer Co Furnature Div Bryson Cit</t>
  </si>
  <si>
    <t>NCD083678631</t>
  </si>
  <si>
    <t>Sinclair and Valentine Co</t>
  </si>
  <si>
    <t>Site Specific Background</t>
  </si>
  <si>
    <t>NCD986180909</t>
  </si>
  <si>
    <t>Shelby Dying and FInishing</t>
  </si>
  <si>
    <t>Background Soil Sample (9/4/91)</t>
  </si>
  <si>
    <t>Background Soil Sample (10/30/91) Farmers Field</t>
  </si>
  <si>
    <t>Background Soil Sample (10/30/91) Field Behind SDF</t>
  </si>
  <si>
    <t>Background Soil Sample (12/13/91) Woods Behind Putnam Field</t>
  </si>
  <si>
    <t>Background Soil Sample (12/13/91) Woods Across Highway 150</t>
  </si>
  <si>
    <t>NCD000616516</t>
  </si>
  <si>
    <t>Scovill Inc Security Products Div</t>
  </si>
  <si>
    <t>SC-SB-01</t>
  </si>
  <si>
    <t>NCD003229358</t>
  </si>
  <si>
    <t>SCM Proctor-Silex</t>
  </si>
  <si>
    <t>Mt. Airy</t>
  </si>
  <si>
    <t>SCSS01</t>
  </si>
  <si>
    <t>background soil boring</t>
  </si>
  <si>
    <t>NCN000407196</t>
  </si>
  <si>
    <t>Rowan Rd Ldfl</t>
  </si>
  <si>
    <t>Clinton</t>
  </si>
  <si>
    <t>Sampson</t>
  </si>
  <si>
    <t>RRL-006-SD</t>
  </si>
  <si>
    <t>RRL-007-SD</t>
  </si>
  <si>
    <t>RRL-011-SL</t>
  </si>
  <si>
    <t>NCD980557748</t>
  </si>
  <si>
    <t>Rowan County Landfill</t>
  </si>
  <si>
    <t>RC-SB-01</t>
  </si>
  <si>
    <t>Rowan County Ldfl</t>
  </si>
  <si>
    <t>RC-SD-01</t>
  </si>
  <si>
    <t>NCD981021090</t>
  </si>
  <si>
    <t>Ross Road Tire Fire</t>
  </si>
  <si>
    <t>Cherryville</t>
  </si>
  <si>
    <t xml:space="preserve">Gaston </t>
  </si>
  <si>
    <t>RR-001-SL</t>
  </si>
  <si>
    <t xml:space="preserve">Ross Road Tire Fire </t>
  </si>
  <si>
    <t>RR-001-SED</t>
  </si>
  <si>
    <t>NCD041466525</t>
  </si>
  <si>
    <t>Rocky Mtn Fiber Dump</t>
  </si>
  <si>
    <t>NCD981933096</t>
  </si>
  <si>
    <t>Rocky Mount, Old Airport</t>
  </si>
  <si>
    <t>NCD042091215</t>
  </si>
  <si>
    <t>RJR Tech Co</t>
  </si>
  <si>
    <t>Merry Hill</t>
  </si>
  <si>
    <t>Bertie</t>
  </si>
  <si>
    <t>NCD980250450</t>
  </si>
  <si>
    <t>Reynolds, R.J. Tobacco Co/ Brook Cove St</t>
  </si>
  <si>
    <t>Stokes</t>
  </si>
  <si>
    <t>RJ-SS-01</t>
  </si>
  <si>
    <t>RJ-SB-01</t>
  </si>
  <si>
    <t>NCD053009510</t>
  </si>
  <si>
    <t>Reliance Universal of KY</t>
  </si>
  <si>
    <t>NCD083673616</t>
  </si>
  <si>
    <t>Reeves Bros</t>
  </si>
  <si>
    <t>Rutherfordton</t>
  </si>
  <si>
    <t>#7 bkgd sample</t>
  </si>
  <si>
    <t>NCD981031578</t>
  </si>
  <si>
    <t>Rainbow Drive Battery Site</t>
  </si>
  <si>
    <t>RD-001-SL</t>
  </si>
  <si>
    <t>RD-002-SL</t>
  </si>
  <si>
    <t>RD-008-SL</t>
  </si>
  <si>
    <t>RD-004-SD</t>
  </si>
  <si>
    <t>NCD057037178</t>
  </si>
  <si>
    <t>PFIZER Inc</t>
  </si>
  <si>
    <t>PC-SS-01</t>
  </si>
  <si>
    <t>PC-SB-01</t>
  </si>
  <si>
    <t>PC-SD-01</t>
  </si>
  <si>
    <t>NCD986215499</t>
  </si>
  <si>
    <t>Parker Industries, Inc</t>
  </si>
  <si>
    <t>Connelly Springs</t>
  </si>
  <si>
    <t>BG-0 (0ft BGS)</t>
  </si>
  <si>
    <t>BG-5 (5ft BGS)</t>
  </si>
  <si>
    <t>BG-10 (10ft BGS)</t>
  </si>
  <si>
    <t>BG-15 (15ft BGS)</t>
  </si>
  <si>
    <t xml:space="preserve">BG-20 (20ft BGS) </t>
  </si>
  <si>
    <t>NCD091572073</t>
  </si>
  <si>
    <t>National Starch and Chemical Company</t>
  </si>
  <si>
    <t>NS-001-SL</t>
  </si>
  <si>
    <t>NS-002-SL</t>
  </si>
  <si>
    <t>NS-001-SD</t>
  </si>
  <si>
    <t>NCD085083004</t>
  </si>
  <si>
    <t>Moore Co, Inc</t>
  </si>
  <si>
    <t>SS-02</t>
  </si>
  <si>
    <t>SED-22</t>
  </si>
  <si>
    <t>NCD088563242</t>
  </si>
  <si>
    <t>Monsanto Company</t>
  </si>
  <si>
    <t>Sample 1</t>
  </si>
  <si>
    <t>NCD981932023</t>
  </si>
  <si>
    <t>Tarboro-Edgecomb Airport</t>
  </si>
  <si>
    <t>Tarboro</t>
  </si>
  <si>
    <t>#1 background soil</t>
  </si>
  <si>
    <t>NCD991279118</t>
  </si>
  <si>
    <t>Merideth/ Burda Inc</t>
  </si>
  <si>
    <t xml:space="preserve">Newton </t>
  </si>
  <si>
    <t>MB-SS-01</t>
  </si>
  <si>
    <t>Merideth/Burda Inc</t>
  </si>
  <si>
    <t>MB-SB-01</t>
  </si>
  <si>
    <t>MB-SD-01</t>
  </si>
  <si>
    <t>NCD991278755</t>
  </si>
  <si>
    <t>Martin's Battery Salvage</t>
  </si>
  <si>
    <t>MBS-01-SD (46ft)</t>
  </si>
  <si>
    <t>#4 bkgr. soil</t>
  </si>
  <si>
    <t>NCN000407197</t>
  </si>
  <si>
    <t>Leary Brothers Storage</t>
  </si>
  <si>
    <t xml:space="preserve">Edenton </t>
  </si>
  <si>
    <t>Chowan</t>
  </si>
  <si>
    <t>LBS-013-SS</t>
  </si>
  <si>
    <t>NCD000653576</t>
  </si>
  <si>
    <t>Kern Rubber Co Urethane Plant</t>
  </si>
  <si>
    <t>KR-SS-01</t>
  </si>
  <si>
    <t>NC0001206572</t>
  </si>
  <si>
    <t>Horseshoe Creek Road</t>
  </si>
  <si>
    <t>Creedmoor</t>
  </si>
  <si>
    <t>Granville</t>
  </si>
  <si>
    <t>1-Bkg</t>
  </si>
  <si>
    <t>2-Bkg</t>
  </si>
  <si>
    <t>3-Bkg</t>
  </si>
  <si>
    <t>4-Bkg</t>
  </si>
  <si>
    <t>5-Bkg</t>
  </si>
  <si>
    <t>NCD062571658</t>
  </si>
  <si>
    <t>Honeywell Micro Switch Div.</t>
  </si>
  <si>
    <t>Mars Hill</t>
  </si>
  <si>
    <t>Madison</t>
  </si>
  <si>
    <t>HW-01-SD</t>
  </si>
  <si>
    <t>SS-52</t>
  </si>
  <si>
    <t>NCD045920279</t>
  </si>
  <si>
    <t>Holding Pond for WAS</t>
  </si>
  <si>
    <t>HP-SS-01</t>
  </si>
  <si>
    <t>HP-SB-01</t>
  </si>
  <si>
    <t>HP-SD-01</t>
  </si>
  <si>
    <t>HP-SD-02</t>
  </si>
  <si>
    <t>Holding Pond For Scrubber Waste</t>
  </si>
  <si>
    <t>GN-064</t>
  </si>
  <si>
    <t>NCD000605097</t>
  </si>
  <si>
    <t>Statesville Road Landfill</t>
  </si>
  <si>
    <t>002-SD</t>
  </si>
  <si>
    <t>NCD986171957</t>
  </si>
  <si>
    <t>Hoskins Mill</t>
  </si>
  <si>
    <t>NCD000616763</t>
  </si>
  <si>
    <t>HK Research Group</t>
  </si>
  <si>
    <t>HK-SS-01</t>
  </si>
  <si>
    <t>HK-SB-01</t>
  </si>
  <si>
    <t>HK-SD-01</t>
  </si>
  <si>
    <t>NCD981003957</t>
  </si>
  <si>
    <t>Henson Ldfl</t>
  </si>
  <si>
    <t>B-34</t>
  </si>
  <si>
    <t>B-34 Dup</t>
  </si>
  <si>
    <t>B-35</t>
  </si>
  <si>
    <t>B-36</t>
  </si>
  <si>
    <t>B-37</t>
  </si>
  <si>
    <t>B-38</t>
  </si>
  <si>
    <t>NCD003163888</t>
  </si>
  <si>
    <t>Henredon Furniture Inds.</t>
  </si>
  <si>
    <t>Morganton</t>
  </si>
  <si>
    <t>NCD980557961</t>
  </si>
  <si>
    <t>Henderson Co Sanitary Ldfl</t>
  </si>
  <si>
    <t>SB-01</t>
  </si>
  <si>
    <t>SD-01</t>
  </si>
  <si>
    <t>NCD980502959</t>
  </si>
  <si>
    <t>Harrisburg Park Land</t>
  </si>
  <si>
    <t>HPL-SD2</t>
  </si>
  <si>
    <t>NCD980557722</t>
  </si>
  <si>
    <t>Harrisburg Battery</t>
  </si>
  <si>
    <t>NCD009305699</t>
  </si>
  <si>
    <t>GTE Sylvania Inc</t>
  </si>
  <si>
    <t>Background</t>
  </si>
  <si>
    <t>NCD982124646</t>
  </si>
  <si>
    <t>Gregson Furniture Industries</t>
  </si>
  <si>
    <t>Liberty</t>
  </si>
  <si>
    <t>GFI-005-SS</t>
  </si>
  <si>
    <t>GFI-008-SD</t>
  </si>
  <si>
    <t>GFI-009-SD</t>
  </si>
  <si>
    <t>NCD986175651</t>
  </si>
  <si>
    <t xml:space="preserve">Glen Raven Mills-Kings Mtn. </t>
  </si>
  <si>
    <t>Kings Mountain</t>
  </si>
  <si>
    <t>Sample 7- 6"</t>
  </si>
  <si>
    <t>NCD003158094</t>
  </si>
  <si>
    <t>Glen Raven Mills</t>
  </si>
  <si>
    <t>Burnsville</t>
  </si>
  <si>
    <t>Yancey</t>
  </si>
  <si>
    <t>2-SL</t>
  </si>
  <si>
    <t>2-SD</t>
  </si>
  <si>
    <t>NCD057037194</t>
  </si>
  <si>
    <t>Gen Elec Co/Mebane Oper.</t>
  </si>
  <si>
    <t>GE-BG-1</t>
  </si>
  <si>
    <t>GE-BG-2</t>
  </si>
  <si>
    <t>remote sample</t>
  </si>
  <si>
    <t>NCD003163730</t>
  </si>
  <si>
    <t>General Instrument Corp. Claire Div.</t>
  </si>
  <si>
    <t>Fairview</t>
  </si>
  <si>
    <t>NCD003198967</t>
  </si>
  <si>
    <t>General Electric Co Carolina Welds Plt</t>
  </si>
  <si>
    <t>Goldsboro</t>
  </si>
  <si>
    <t>2-S</t>
  </si>
  <si>
    <t>2-3'</t>
  </si>
  <si>
    <t>2-6'</t>
  </si>
  <si>
    <t>NCD003448610</t>
  </si>
  <si>
    <t xml:space="preserve">Galvan Industries, Inc. </t>
  </si>
  <si>
    <t>Harrisburg</t>
  </si>
  <si>
    <t>GI-007-SS</t>
  </si>
  <si>
    <t>NCD980503056</t>
  </si>
  <si>
    <t>Flemington Ldfl</t>
  </si>
  <si>
    <t>BG-6</t>
  </si>
  <si>
    <t>BG-7</t>
  </si>
  <si>
    <t>BG-8</t>
  </si>
  <si>
    <t>NCD062553490</t>
  </si>
  <si>
    <t>Fleet Transport Co Inc.</t>
  </si>
  <si>
    <t>SED-42</t>
  </si>
  <si>
    <t>SS-42</t>
  </si>
  <si>
    <t>FMC Corporation</t>
  </si>
  <si>
    <t xml:space="preserve">#2 </t>
  </si>
  <si>
    <t>NCD093340487</t>
  </si>
  <si>
    <t>FL Steel Corp</t>
  </si>
  <si>
    <t>TP-4</t>
  </si>
  <si>
    <t>TP-5</t>
  </si>
  <si>
    <t>TP-8</t>
  </si>
  <si>
    <t>TP-9</t>
  </si>
  <si>
    <t>FS-02</t>
  </si>
  <si>
    <t>FS-03</t>
  </si>
  <si>
    <t>NCD066327313</t>
  </si>
  <si>
    <t>Finetex, Inc.</t>
  </si>
  <si>
    <t>SS-62</t>
  </si>
  <si>
    <t>NCD003218203</t>
  </si>
  <si>
    <t>Fieldcrest Mills Inc. Blanket Mill</t>
  </si>
  <si>
    <t>Eden</t>
  </si>
  <si>
    <t>Rockingham</t>
  </si>
  <si>
    <t>FM-SS-01</t>
  </si>
  <si>
    <t>FM-SW-01</t>
  </si>
  <si>
    <t>NCD003155405</t>
  </si>
  <si>
    <t>Federal Paper Board Co, Inc</t>
  </si>
  <si>
    <t xml:space="preserve">East Flat Rock </t>
  </si>
  <si>
    <t>NCD000605303</t>
  </si>
  <si>
    <t>Federal Paper Board Co</t>
  </si>
  <si>
    <t>Riegel Wood</t>
  </si>
  <si>
    <t>FP-USS-01</t>
  </si>
  <si>
    <t>FP-SS-01</t>
  </si>
  <si>
    <t>FP-SD-01</t>
  </si>
  <si>
    <t>NCD062566047</t>
  </si>
  <si>
    <t>6-2"</t>
  </si>
  <si>
    <t>6-24"</t>
  </si>
  <si>
    <t>NCD000827832</t>
  </si>
  <si>
    <t>Electric Utilities</t>
  </si>
  <si>
    <t>Loc. 7-Bkgd Soil</t>
  </si>
  <si>
    <t>NCN000409811</t>
  </si>
  <si>
    <t>Electric Motor and Transformer Co</t>
  </si>
  <si>
    <t>FS-003_SD</t>
  </si>
  <si>
    <t>NCD004520136</t>
  </si>
  <si>
    <t>Eaton Corp</t>
  </si>
  <si>
    <t>BGSS-Comp-09</t>
  </si>
  <si>
    <t>NCD062567623</t>
  </si>
  <si>
    <t xml:space="preserve">Diamond Shamrock Corp </t>
  </si>
  <si>
    <t>DS-2</t>
  </si>
  <si>
    <t>NCD003938586</t>
  </si>
  <si>
    <t>Corning Glass Works</t>
  </si>
  <si>
    <t>CG-SB-01</t>
  </si>
  <si>
    <t>NCD130708126</t>
  </si>
  <si>
    <t>Consolidated Warehouse</t>
  </si>
  <si>
    <t>CW-L05-SL</t>
  </si>
  <si>
    <t xml:space="preserve">CW-L06-SL </t>
  </si>
  <si>
    <t>CW-M07-SL</t>
  </si>
  <si>
    <t>CW-008-SB</t>
  </si>
  <si>
    <t>CW-D05-SL</t>
  </si>
  <si>
    <t>CW-D06-SB</t>
  </si>
  <si>
    <t>NCD003162500</t>
  </si>
  <si>
    <t>Consolidated Engravers Corp</t>
  </si>
  <si>
    <t>SD-A(BG)</t>
  </si>
  <si>
    <t>SD-B(BG)</t>
  </si>
  <si>
    <t>NCN000407830</t>
  </si>
  <si>
    <t>Clorox Chemical</t>
  </si>
  <si>
    <t>CCC-013-SS</t>
  </si>
  <si>
    <t>CCC-022-SD</t>
  </si>
  <si>
    <t>CCC-020-0SD</t>
  </si>
  <si>
    <t>NCD986188019</t>
  </si>
  <si>
    <t>Champion Ldfl #2</t>
  </si>
  <si>
    <t>Canton</t>
  </si>
  <si>
    <t>Haywood</t>
  </si>
  <si>
    <t>L2-001-SL</t>
  </si>
  <si>
    <t>L2-001-SL (NC data)</t>
  </si>
  <si>
    <t>Champion Ldfl #3</t>
  </si>
  <si>
    <t>L3-001-SL</t>
  </si>
  <si>
    <t>L3-001-SL (NC data)</t>
  </si>
  <si>
    <t>Champion Ldfl #1</t>
  </si>
  <si>
    <t xml:space="preserve">L1-001-SL </t>
  </si>
  <si>
    <t>L1-001-SL (NC data)</t>
  </si>
  <si>
    <t>NCN000409889</t>
  </si>
  <si>
    <t>Certified Plating</t>
  </si>
  <si>
    <t>CP-004-SS</t>
  </si>
  <si>
    <t>NCD003221868</t>
  </si>
  <si>
    <t>Century Furniture Co</t>
  </si>
  <si>
    <t>CF-SS-01</t>
  </si>
  <si>
    <t>CF-SB-01</t>
  </si>
  <si>
    <t>NCD003200854</t>
  </si>
  <si>
    <t>Carolina Wood Preserving Company, Inc.</t>
  </si>
  <si>
    <t>Scotland Neck</t>
  </si>
  <si>
    <t>#6 bkg</t>
  </si>
  <si>
    <t>CWP-003-SD</t>
  </si>
  <si>
    <t>NCD980729412</t>
  </si>
  <si>
    <t>Carolina Tank Cleaning Co</t>
  </si>
  <si>
    <t>bkgd surface soil</t>
  </si>
  <si>
    <t>#4 bkgd subsurface soil</t>
  </si>
  <si>
    <t>NCD047285598</t>
  </si>
  <si>
    <t>Carolina Solvents, Inc</t>
  </si>
  <si>
    <t>CS-SS-01</t>
  </si>
  <si>
    <t>CS-SB-01</t>
  </si>
  <si>
    <t>NCD000830612</t>
  </si>
  <si>
    <t>Carolina P&amp;L Co Mayo Steam Elec</t>
  </si>
  <si>
    <t>CP-SS-01</t>
  </si>
  <si>
    <t>CP-SB-01</t>
  </si>
  <si>
    <t>CP-SD-01</t>
  </si>
  <si>
    <t>NCD000830661</t>
  </si>
  <si>
    <t>Carolina P&amp;L Co Lee Steam Elec Plt</t>
  </si>
  <si>
    <t xml:space="preserve"> Carolina P&amp;L Co Lee Steam Elec Plt</t>
  </si>
  <si>
    <t xml:space="preserve">Wayne </t>
  </si>
  <si>
    <t>NCD045924487</t>
  </si>
  <si>
    <t>Carolina Aluminum</t>
  </si>
  <si>
    <t>Winton</t>
  </si>
  <si>
    <t>bkgd #4</t>
  </si>
  <si>
    <t>bkgd #6</t>
  </si>
  <si>
    <t>bkgd #10</t>
  </si>
  <si>
    <t>NCD980729479</t>
  </si>
  <si>
    <t>Carolawn Co</t>
  </si>
  <si>
    <t>Kernersville</t>
  </si>
  <si>
    <t>CC-SS-03</t>
  </si>
  <si>
    <t>NCD991278714</t>
  </si>
  <si>
    <t>Carochem</t>
  </si>
  <si>
    <t>#1 bkgd</t>
  </si>
  <si>
    <t>NCD981929813</t>
  </si>
  <si>
    <t>Carbonton Rd Drum Site</t>
  </si>
  <si>
    <t>bkgd (#5)</t>
  </si>
  <si>
    <t>NCD003162666</t>
  </si>
  <si>
    <t>Cannon Mills Plt #1</t>
  </si>
  <si>
    <t>B-22 (5')</t>
  </si>
  <si>
    <t>B-21 (5')</t>
  </si>
  <si>
    <t>B-21 (10')</t>
  </si>
  <si>
    <t>B-21 (15')</t>
  </si>
  <si>
    <t>SD-4A</t>
  </si>
  <si>
    <t>SD-3A</t>
  </si>
  <si>
    <t>SD-4B</t>
  </si>
  <si>
    <t>SD-3B</t>
  </si>
  <si>
    <t>SD-04</t>
  </si>
  <si>
    <t>SD-03</t>
  </si>
  <si>
    <t>NCD981021702</t>
  </si>
  <si>
    <t>Camp, Leonard Property</t>
  </si>
  <si>
    <t>7 Bkgd soil</t>
  </si>
  <si>
    <t>NC0000998336</t>
  </si>
  <si>
    <t>CP Properties Site</t>
  </si>
  <si>
    <t>CP-6</t>
  </si>
  <si>
    <t>CP-05-SL</t>
  </si>
  <si>
    <t>CP-07-SL</t>
  </si>
  <si>
    <t>CP-11-SL</t>
  </si>
  <si>
    <t>NCD981022288</t>
  </si>
  <si>
    <t>C&amp;T Refinery</t>
  </si>
  <si>
    <t>NCD981750425</t>
  </si>
  <si>
    <t>Buxton Dump</t>
  </si>
  <si>
    <t>Buxton</t>
  </si>
  <si>
    <t>Dare</t>
  </si>
  <si>
    <t>BE-01-SD</t>
  </si>
  <si>
    <t>BE-08-SD</t>
  </si>
  <si>
    <t>BE-09-SD</t>
  </si>
  <si>
    <t>BE-10-SS</t>
  </si>
  <si>
    <t>BE-10-SB</t>
  </si>
  <si>
    <t>NCD024762668</t>
  </si>
  <si>
    <t>Bush Brothers Plating Inc</t>
  </si>
  <si>
    <t>Reidsville</t>
  </si>
  <si>
    <t>NCD980557664</t>
  </si>
  <si>
    <t>Burlington Inds/ Wake Finishing Plt</t>
  </si>
  <si>
    <t>Neuse Branch</t>
  </si>
  <si>
    <t>location #6</t>
  </si>
  <si>
    <t>location #7</t>
  </si>
  <si>
    <t>location #8</t>
  </si>
  <si>
    <t>location #9</t>
  </si>
  <si>
    <t>location #10</t>
  </si>
  <si>
    <t>NCD093334894</t>
  </si>
  <si>
    <t xml:space="preserve">Burlington Ind </t>
  </si>
  <si>
    <t>BI-SS-01</t>
  </si>
  <si>
    <t>BI-SB-01</t>
  </si>
  <si>
    <t>NCD024770125</t>
  </si>
  <si>
    <t>Burlington Furn Robbinsville Plt 116</t>
  </si>
  <si>
    <t>Robbinsville</t>
  </si>
  <si>
    <t>Graham</t>
  </si>
  <si>
    <t>BF-5</t>
  </si>
  <si>
    <t>NCD083682583</t>
  </si>
  <si>
    <t>Broyhill Furniture</t>
  </si>
  <si>
    <t>BH-1</t>
  </si>
  <si>
    <t>NCD980502819</t>
  </si>
  <si>
    <t>Bladen Co Ldfl</t>
  </si>
  <si>
    <t>Elizabethtown</t>
  </si>
  <si>
    <t>Bladen</t>
  </si>
  <si>
    <t>NCD980559637</t>
  </si>
  <si>
    <t xml:space="preserve">Beaunit Corp/Dyeing and Finishing Plt </t>
  </si>
  <si>
    <t>Lowell</t>
  </si>
  <si>
    <t>GM-SS-01</t>
  </si>
  <si>
    <t>NCD003193588</t>
  </si>
  <si>
    <t>Barbour Boat Works, Inc</t>
  </si>
  <si>
    <t xml:space="preserve">New Bern </t>
  </si>
  <si>
    <t xml:space="preserve">#3 </t>
  </si>
  <si>
    <t>NCD075559526</t>
  </si>
  <si>
    <t>BP Oil</t>
  </si>
  <si>
    <t>Selma</t>
  </si>
  <si>
    <t>Bkgd Soil (#4)</t>
  </si>
  <si>
    <t>NCD000828814</t>
  </si>
  <si>
    <t xml:space="preserve">Asheland Petrolium Co </t>
  </si>
  <si>
    <t>AP-SS-01</t>
  </si>
  <si>
    <t>AP-SB-01</t>
  </si>
  <si>
    <t>AP-SD-01</t>
  </si>
  <si>
    <t>NCD980557557</t>
  </si>
  <si>
    <t>Asheboro Muni Ldfl</t>
  </si>
  <si>
    <t>AL-SS-01</t>
  </si>
  <si>
    <t>NCD119168813</t>
  </si>
  <si>
    <t>Anilox Roll</t>
  </si>
  <si>
    <t>AMP, Inc.</t>
  </si>
  <si>
    <t>Winston -Salem</t>
  </si>
  <si>
    <t>AM-SS-01</t>
  </si>
  <si>
    <t>NCD000615872</t>
  </si>
  <si>
    <t>AI-SS-01</t>
  </si>
  <si>
    <t>AI-SB-01</t>
  </si>
  <si>
    <t>NCD075582197</t>
  </si>
  <si>
    <t>Amore Chemicals</t>
  </si>
  <si>
    <t>No 1 Bkgd SS</t>
  </si>
  <si>
    <t xml:space="preserve">No 2 Bkgd SB </t>
  </si>
  <si>
    <t>NCD085443182</t>
  </si>
  <si>
    <t xml:space="preserve">Ametek Inc Lamb Elec Div </t>
  </si>
  <si>
    <t>NCD003157377</t>
  </si>
  <si>
    <t>American Thread Co Sevier Plant</t>
  </si>
  <si>
    <t>#4 Bkgd Soil</t>
  </si>
  <si>
    <t>NCD003196193</t>
  </si>
  <si>
    <t>Pifer Industries, Inc</t>
  </si>
  <si>
    <t>NCN000410173</t>
  </si>
  <si>
    <t xml:space="preserve">Drutan Products </t>
  </si>
  <si>
    <t>DT-001-SF</t>
  </si>
  <si>
    <t>NCD003188828</t>
  </si>
  <si>
    <t>Cape Fear Wood Preserving Co</t>
  </si>
  <si>
    <t>BCK1-01</t>
  </si>
  <si>
    <t>BCK2-01</t>
  </si>
  <si>
    <t>BCK3-01</t>
  </si>
  <si>
    <t>BHBCK1-S1</t>
  </si>
  <si>
    <t>BHBCK1-S8</t>
  </si>
  <si>
    <t>BHBCK1-S13</t>
  </si>
  <si>
    <t>BHBCK1-S17</t>
  </si>
  <si>
    <t>BHBCK1-S23</t>
  </si>
  <si>
    <t>BHBCK1-S30</t>
  </si>
  <si>
    <t>SD-1</t>
  </si>
  <si>
    <t>NCN000407686</t>
  </si>
  <si>
    <t>Caraleigh Phosphate and Fertilizer Works</t>
  </si>
  <si>
    <t>CPF-006-SS</t>
  </si>
  <si>
    <t>CPF-014-SD</t>
  </si>
  <si>
    <t>CPF-012-SD</t>
  </si>
  <si>
    <t>NCD986171965</t>
  </si>
  <si>
    <t>Caro-Knit</t>
  </si>
  <si>
    <t>Sample 11</t>
  </si>
  <si>
    <t>NCSFN0406911</t>
  </si>
  <si>
    <t>Carolina Assoiated Mill</t>
  </si>
  <si>
    <t>CM-001-SB</t>
  </si>
  <si>
    <t>NCD048181218</t>
  </si>
  <si>
    <t>Carolina Galvanizing Corp</t>
  </si>
  <si>
    <t>SP2A</t>
  </si>
  <si>
    <t>CGC-SS1</t>
  </si>
  <si>
    <t>NCN000410473</t>
  </si>
  <si>
    <t>Carolina P&amp;L Sutton Steam Elec Plt</t>
  </si>
  <si>
    <t>NCN000407588</t>
  </si>
  <si>
    <t>Carters Refuse Disposal</t>
  </si>
  <si>
    <t>Kinston</t>
  </si>
  <si>
    <t>CRD-019-SL</t>
  </si>
  <si>
    <t>CRD-009-SD</t>
  </si>
  <si>
    <t>CRD-010-SD</t>
  </si>
  <si>
    <t>CRD-011-SD</t>
  </si>
  <si>
    <t>NCN000407241</t>
  </si>
  <si>
    <t>Chadbourn Battery</t>
  </si>
  <si>
    <t>Chadbourn</t>
  </si>
  <si>
    <t>CB-G2-SB2</t>
  </si>
  <si>
    <t>CBS-003-SD</t>
  </si>
  <si>
    <t>CBS-004-SD</t>
  </si>
  <si>
    <t>CBS-007-SL</t>
  </si>
  <si>
    <t>NC1170027261</t>
  </si>
  <si>
    <t>Cherry Point Marine Corps Air Station</t>
  </si>
  <si>
    <t xml:space="preserve">Havelock </t>
  </si>
  <si>
    <t>BT11SS01</t>
  </si>
  <si>
    <t>BT11SS02</t>
  </si>
  <si>
    <t>BT11SS02 Dup</t>
  </si>
  <si>
    <t>BT11SS03</t>
  </si>
  <si>
    <t>BT11SS03 Dup</t>
  </si>
  <si>
    <t>NCD982116477</t>
  </si>
  <si>
    <t>Conagra-Garner Ammonia Release</t>
  </si>
  <si>
    <t xml:space="preserve">Garner </t>
  </si>
  <si>
    <t>NB-SS-1</t>
  </si>
  <si>
    <t>NB-SS-2</t>
  </si>
  <si>
    <t>NB-SS-3</t>
  </si>
  <si>
    <t>NB-SS-4</t>
  </si>
  <si>
    <t>NB-SS-5</t>
  </si>
  <si>
    <t>NB-SS-6</t>
  </si>
  <si>
    <t>NCN000410566</t>
  </si>
  <si>
    <t>Consos, Inc</t>
  </si>
  <si>
    <t>CI-008-SD</t>
  </si>
  <si>
    <t>CI-006-SL</t>
  </si>
  <si>
    <t>CI-006-SB</t>
  </si>
  <si>
    <t>NCD003149556</t>
  </si>
  <si>
    <t>Cts of Asheville</t>
  </si>
  <si>
    <t>CA-SS-01</t>
  </si>
  <si>
    <t>CA-SB-01</t>
  </si>
  <si>
    <t>CA-SD-01</t>
  </si>
  <si>
    <t>NCN000410174</t>
  </si>
  <si>
    <t>Daly Herring</t>
  </si>
  <si>
    <t xml:space="preserve">Kinston </t>
  </si>
  <si>
    <t>DH-001-SF</t>
  </si>
  <si>
    <t>NCD003213030</t>
  </si>
  <si>
    <t>Douslas Battery MFG Co</t>
  </si>
  <si>
    <t>ST-001-SD</t>
  </si>
  <si>
    <t>background sample</t>
  </si>
  <si>
    <t>NCD981014517</t>
  </si>
  <si>
    <t>Dyntech</t>
  </si>
  <si>
    <t>DI-SD-10</t>
  </si>
  <si>
    <t>DI-SL-09</t>
  </si>
  <si>
    <t>DI-SL-01</t>
  </si>
  <si>
    <t>NCD003166675</t>
  </si>
  <si>
    <t>Ecusta Mill</t>
  </si>
  <si>
    <t>Pisgah Forest</t>
  </si>
  <si>
    <t>#3 bkgd sediment</t>
  </si>
  <si>
    <t>#6 bkgd soil</t>
  </si>
  <si>
    <t>NCD003201837</t>
  </si>
  <si>
    <t>Encee Chemical Sales, Inc</t>
  </si>
  <si>
    <t>EC-SB-01</t>
  </si>
  <si>
    <t>EC-SS-01</t>
  </si>
  <si>
    <t>EC-SD-01</t>
  </si>
  <si>
    <t>NCD051827905</t>
  </si>
  <si>
    <t>Estech Genl Chems Corp</t>
  </si>
  <si>
    <t>NC-021-SL</t>
  </si>
  <si>
    <t>NC-022-SL</t>
  </si>
  <si>
    <t>NC-001-SD</t>
  </si>
  <si>
    <t>NCD095458527</t>
  </si>
  <si>
    <t>FCX, Inc (Statesville Plant)</t>
  </si>
  <si>
    <t>NCD045922986</t>
  </si>
  <si>
    <t>Flanders Filters, Inc</t>
  </si>
  <si>
    <t>HA-12-SS</t>
  </si>
  <si>
    <t>HA-WT-SS</t>
  </si>
  <si>
    <t>HA-12-SB1</t>
  </si>
  <si>
    <t>HA-WT-SB1</t>
  </si>
  <si>
    <t>SD-8</t>
  </si>
  <si>
    <t>NCN000409865</t>
  </si>
  <si>
    <t>Forshaw Chemicals, Inc.</t>
  </si>
  <si>
    <t>NCD079044426</t>
  </si>
  <si>
    <t>General Electric Co/Shepherd Farm</t>
  </si>
  <si>
    <t>SF-SB-01</t>
  </si>
  <si>
    <t>SF-SD-01</t>
  </si>
  <si>
    <t>NCN000410161</t>
  </si>
  <si>
    <t>GMH Electronics</t>
  </si>
  <si>
    <t>209SB12</t>
  </si>
  <si>
    <t>209SB912</t>
  </si>
  <si>
    <t>NCD986232379</t>
  </si>
  <si>
    <t>Greshams Lake Industrial Park</t>
  </si>
  <si>
    <t>GL-001-SD</t>
  </si>
  <si>
    <t>NCD986172526</t>
  </si>
  <si>
    <t>Gurley Pesticide Burial</t>
  </si>
  <si>
    <t>1 background surface soil</t>
  </si>
  <si>
    <t>NCN000410293</t>
  </si>
  <si>
    <t>Gurmico Chemicals</t>
  </si>
  <si>
    <t>Princeton</t>
  </si>
  <si>
    <t>GC-001-SS</t>
  </si>
  <si>
    <t>NCD024459471</t>
  </si>
  <si>
    <t>Guyton Battery Site</t>
  </si>
  <si>
    <t>#7- 6"</t>
  </si>
  <si>
    <t>NC0002374445</t>
  </si>
  <si>
    <t>Hemphill Road TCE</t>
  </si>
  <si>
    <t>GT-016-SS</t>
  </si>
  <si>
    <t>GT-017-SS</t>
  </si>
  <si>
    <t>NC0000998344</t>
  </si>
  <si>
    <t>Hickory Grove TCE Site</t>
  </si>
  <si>
    <t>McAdenville</t>
  </si>
  <si>
    <t>HG-009-SL</t>
  </si>
  <si>
    <t>HG-109-SL</t>
  </si>
  <si>
    <t>HG-014-SD</t>
  </si>
  <si>
    <t>HG-002-SD</t>
  </si>
  <si>
    <t>HG-004-SD</t>
  </si>
  <si>
    <t>NCN000407480</t>
  </si>
  <si>
    <t xml:space="preserve">Horton Iron and Metal </t>
  </si>
  <si>
    <t>HM-019-SS</t>
  </si>
  <si>
    <t>HM-020-SS</t>
  </si>
  <si>
    <t>NCN000410422</t>
  </si>
  <si>
    <t>Howie Mine</t>
  </si>
  <si>
    <t>Waxhaw</t>
  </si>
  <si>
    <t>HM-100-SD</t>
  </si>
  <si>
    <t>HM-118-SD</t>
  </si>
  <si>
    <t>HM-105-SD</t>
  </si>
  <si>
    <t>HM-106-SS</t>
  </si>
  <si>
    <t>NCN000409780</t>
  </si>
  <si>
    <t>Industrial Metal Alloy</t>
  </si>
  <si>
    <t>IMA-002-SD</t>
  </si>
  <si>
    <t>IMA-SS-01</t>
  </si>
  <si>
    <t>IMA-SB-01</t>
  </si>
  <si>
    <t>IMA-SD-01</t>
  </si>
  <si>
    <t>NCD000770487</t>
  </si>
  <si>
    <t>Johnson Controls Globe Battery Division</t>
  </si>
  <si>
    <t>JC-001-SD</t>
  </si>
  <si>
    <t>JC-008-SD</t>
  </si>
  <si>
    <t>JC-108-SD</t>
  </si>
  <si>
    <t>JC-010-SD</t>
  </si>
  <si>
    <t>JC-011-SD</t>
  </si>
  <si>
    <t>JC-013-SD</t>
  </si>
  <si>
    <t>JC-014-SD</t>
  </si>
  <si>
    <t>JC-015-SD</t>
  </si>
  <si>
    <t>JC-016-SD</t>
  </si>
  <si>
    <t>SD-017-SD</t>
  </si>
  <si>
    <t>JC-021-SD</t>
  </si>
  <si>
    <t>JB-001-SL</t>
  </si>
  <si>
    <t>JB-101-SL</t>
  </si>
  <si>
    <t>NCD055165609</t>
  </si>
  <si>
    <t>Karolina Polymers</t>
  </si>
  <si>
    <t>HV-1</t>
  </si>
  <si>
    <t>BKSB3</t>
  </si>
  <si>
    <t>BKSB5</t>
  </si>
  <si>
    <t>BKSB6</t>
  </si>
  <si>
    <t>BRSB1</t>
  </si>
  <si>
    <t>NCD044444735</t>
  </si>
  <si>
    <t>KM Ventures</t>
  </si>
  <si>
    <t>CK-7</t>
  </si>
  <si>
    <t>CK-007-SL</t>
  </si>
  <si>
    <t>CK-008-SL (dup of 007-SL)</t>
  </si>
  <si>
    <t xml:space="preserve">CK-107-SL </t>
  </si>
  <si>
    <t>CK-206-SD</t>
  </si>
  <si>
    <t>CK-004-SD</t>
  </si>
  <si>
    <t>Landcaster Plating Site</t>
  </si>
  <si>
    <t>LP-SS-BK2</t>
  </si>
  <si>
    <t>LP-SB-BK1</t>
  </si>
  <si>
    <t>NCD055359079</t>
  </si>
  <si>
    <t>Masonite Corp Fiberboard Div</t>
  </si>
  <si>
    <t>Spring Hope</t>
  </si>
  <si>
    <t>background soil sample</t>
  </si>
  <si>
    <t>NCD986223170</t>
  </si>
  <si>
    <t>McBess Industries</t>
  </si>
  <si>
    <t>High Shoals</t>
  </si>
  <si>
    <t>MCB-01-SD</t>
  </si>
  <si>
    <t>MCB-02-SD</t>
  </si>
  <si>
    <t>MCB-09-SD</t>
  </si>
  <si>
    <t>MCB-16-SL</t>
  </si>
  <si>
    <t>MCB-17-SL</t>
  </si>
  <si>
    <t>NCD991278953</t>
  </si>
  <si>
    <t>National Starch and Chemical Corp</t>
  </si>
  <si>
    <t>SE-06</t>
  </si>
  <si>
    <t>SE-10</t>
  </si>
  <si>
    <t>NCD986187128</t>
  </si>
  <si>
    <t>North Belmont PCE</t>
  </si>
  <si>
    <t>North Belmont</t>
  </si>
  <si>
    <t>SD-203</t>
  </si>
  <si>
    <t>SPT-1/10'</t>
  </si>
  <si>
    <t>NCD986190858</t>
  </si>
  <si>
    <t>Oakhill PCB (John Church Site)</t>
  </si>
  <si>
    <t>OH-01-SD</t>
  </si>
  <si>
    <t>OH-05-SD</t>
  </si>
  <si>
    <t>NCD986186518</t>
  </si>
  <si>
    <t>Old ATC Refinery</t>
  </si>
  <si>
    <t>AT-SS-01</t>
  </si>
  <si>
    <t>AT-SD-02</t>
  </si>
  <si>
    <t>AT-SB-01</t>
  </si>
  <si>
    <t>NCD986172518</t>
  </si>
  <si>
    <t>Old Mt. Holly PCE Site</t>
  </si>
  <si>
    <t>OM-E02-SL</t>
  </si>
  <si>
    <t>OM-E01-SL</t>
  </si>
  <si>
    <t>NCSFN0406906</t>
  </si>
  <si>
    <t>Old Stake Rd Site</t>
  </si>
  <si>
    <t>OSR-005-SL</t>
  </si>
  <si>
    <t>OSR-008-SD</t>
  </si>
  <si>
    <t>OSR-009-SD</t>
  </si>
  <si>
    <t>NCN000407491</t>
  </si>
  <si>
    <t>P&amp;B Distribution Chemical Fire</t>
  </si>
  <si>
    <t>background 1</t>
  </si>
  <si>
    <t>PDB-006-SS</t>
  </si>
  <si>
    <t>PDB-002-SD</t>
  </si>
  <si>
    <t>PDB-003-SD</t>
  </si>
  <si>
    <t>NCD986171338</t>
  </si>
  <si>
    <t>Peele Pesticide Disposal Site</t>
  </si>
  <si>
    <t>Sample 14</t>
  </si>
  <si>
    <t>NCD062548995</t>
  </si>
  <si>
    <t>Quorum Knitting</t>
  </si>
  <si>
    <t>Weaverville</t>
  </si>
  <si>
    <t>SC-01</t>
  </si>
  <si>
    <t>NCD986187094</t>
  </si>
  <si>
    <t>Reasor Chemical Company</t>
  </si>
  <si>
    <t>Castle Hayne</t>
  </si>
  <si>
    <t>SS-98</t>
  </si>
  <si>
    <t>SS-99</t>
  </si>
  <si>
    <t>SS-100</t>
  </si>
  <si>
    <t>SS-101</t>
  </si>
  <si>
    <t>GP-4</t>
  </si>
  <si>
    <t>GP-5</t>
  </si>
  <si>
    <t>SE-1</t>
  </si>
  <si>
    <t>SE-2</t>
  </si>
  <si>
    <t>SE-3</t>
  </si>
  <si>
    <t>SE-4</t>
  </si>
  <si>
    <t>NCD986176030</t>
  </si>
  <si>
    <t>Rhoderia Drive Wells</t>
  </si>
  <si>
    <t>sample 1</t>
  </si>
  <si>
    <t>sample 2</t>
  </si>
  <si>
    <t>NCD986232700</t>
  </si>
  <si>
    <t>Riley Battery Site</t>
  </si>
  <si>
    <t>RB-001-SL</t>
  </si>
  <si>
    <t xml:space="preserve">Concord </t>
  </si>
  <si>
    <t>RB-001-SD</t>
  </si>
  <si>
    <t>NCN000410290</t>
  </si>
  <si>
    <t>Riverside Chemical</t>
  </si>
  <si>
    <t>Ahockie</t>
  </si>
  <si>
    <t>RS-205-SD</t>
  </si>
  <si>
    <t>RS-237-SB</t>
  </si>
  <si>
    <t>RS-237-SF</t>
  </si>
  <si>
    <t>NCD062552153</t>
  </si>
  <si>
    <t>Sayles-Biltmore Bleacheries</t>
  </si>
  <si>
    <t xml:space="preserve">SB </t>
  </si>
  <si>
    <t>NCD003234549</t>
  </si>
  <si>
    <t>SCM Proctor Silex</t>
  </si>
  <si>
    <t>Southern Pines</t>
  </si>
  <si>
    <t>Sample No 1</t>
  </si>
  <si>
    <t>Sample No 2</t>
  </si>
  <si>
    <t>NCN000407206</t>
  </si>
  <si>
    <t>Shulimson Brothers Scrap Yard</t>
  </si>
  <si>
    <t>SBS-010-SL</t>
  </si>
  <si>
    <t>SBS-015-SD</t>
  </si>
  <si>
    <t>SBS-016-SD</t>
  </si>
  <si>
    <t>NCD062555792</t>
  </si>
  <si>
    <t>Sigmon's Septic Tank Service</t>
  </si>
  <si>
    <t>SST-014-SS</t>
  </si>
  <si>
    <t>SST-014-SB</t>
  </si>
  <si>
    <t>SS-SF-01</t>
  </si>
  <si>
    <t>SS-SF-02 (dup of SS-01)</t>
  </si>
  <si>
    <t>SS-SB-01</t>
  </si>
  <si>
    <t>SS-SB-02</t>
  </si>
  <si>
    <t>SS-SD-01</t>
  </si>
  <si>
    <t>NCD980503148</t>
  </si>
  <si>
    <t>Southchem</t>
  </si>
  <si>
    <t>SC-002-SD</t>
  </si>
  <si>
    <t>SC-001-SD</t>
  </si>
  <si>
    <t>SC-006-SD</t>
  </si>
  <si>
    <t>NCD058517467</t>
  </si>
  <si>
    <t>Southern Wood Piedmont Co#</t>
  </si>
  <si>
    <t>SS-03</t>
  </si>
  <si>
    <t>SB-02</t>
  </si>
  <si>
    <t>SB-03</t>
  </si>
  <si>
    <t>BK-S1</t>
  </si>
  <si>
    <t>SS-1</t>
  </si>
  <si>
    <t>SS-2</t>
  </si>
  <si>
    <t>SS-3</t>
  </si>
  <si>
    <t>SS-12 Dup</t>
  </si>
  <si>
    <t>SS-13</t>
  </si>
  <si>
    <t>SS-14</t>
  </si>
  <si>
    <t>NCD986232213</t>
  </si>
  <si>
    <t>Summit Resource Management</t>
  </si>
  <si>
    <t>SRS-17A</t>
  </si>
  <si>
    <t>SR-SL-01</t>
  </si>
  <si>
    <t>SR-SD-01</t>
  </si>
  <si>
    <t>NCD087336335</t>
  </si>
  <si>
    <t>Triangle Pacific Corp IXL Division</t>
  </si>
  <si>
    <t>NC0210020541</t>
  </si>
  <si>
    <t>US DOD Military Ocean Ter/ Sunny Point</t>
  </si>
  <si>
    <t>W-BG-A</t>
  </si>
  <si>
    <t>W-BG-B</t>
  </si>
  <si>
    <t>DC-SB-02</t>
  </si>
  <si>
    <t>DC-SS-03</t>
  </si>
  <si>
    <t>NC6680090002</t>
  </si>
  <si>
    <t>US EPA Tech Ctr</t>
  </si>
  <si>
    <t>EML-BKG-SB01-EM0044</t>
  </si>
  <si>
    <t>EML-BKG-SB01-EM0045</t>
  </si>
  <si>
    <t>EML-BKG-SB02-EM0046</t>
  </si>
  <si>
    <t>EML-BKG-SB02-EM0047</t>
  </si>
  <si>
    <t>EML-BKG-SB03-EM0048</t>
  </si>
  <si>
    <t>EML-BKG-SB03-EM0049</t>
  </si>
  <si>
    <t>EML-BKG-SB04-EM0050</t>
  </si>
  <si>
    <t>EML-BKG-SB04-EM0051</t>
  </si>
  <si>
    <t>EML-BKG-SB05-EM0054</t>
  </si>
  <si>
    <t>EML-BKG-SB05-EM0055</t>
  </si>
  <si>
    <t>EML-BKG-SB06-EM0056</t>
  </si>
  <si>
    <t>EML-BKG-SB06-EM0057</t>
  </si>
  <si>
    <t>EML-BKG-SB07-EM0058</t>
  </si>
  <si>
    <t>EML-BKG-SB07-EM0059</t>
  </si>
  <si>
    <t>EML-BKG-SB08-EM0060</t>
  </si>
  <si>
    <t>EML-BKG-SB08-EM0061</t>
  </si>
  <si>
    <t>EML-BKG-SB09-EM0062</t>
  </si>
  <si>
    <t>EML-BKG-SB09-EM0063</t>
  </si>
  <si>
    <t>EML-BKG-SB10-EM0064</t>
  </si>
  <si>
    <t>EML-BKG-SB10-EM0065</t>
  </si>
  <si>
    <t>EML-BKG-SB11-EM0066</t>
  </si>
  <si>
    <t>EML-BKG-SB11-EM0067</t>
  </si>
  <si>
    <t>EML-BKG-SB12-EM0071</t>
  </si>
  <si>
    <t>EML-BKG-SB12-EM0070</t>
  </si>
  <si>
    <t>NC6570027460</t>
  </si>
  <si>
    <t>USAF Dare County Range Seymour Johnson</t>
  </si>
  <si>
    <t>Engelhard</t>
  </si>
  <si>
    <t>Hyde</t>
  </si>
  <si>
    <t>SWM1BKGSO</t>
  </si>
  <si>
    <t>SWM2BKGSO</t>
  </si>
  <si>
    <t>WW1BKGSO</t>
  </si>
  <si>
    <t>AA1BKGSO</t>
  </si>
  <si>
    <t>SWM7BKGSO</t>
  </si>
  <si>
    <t>SWM4BKGSO</t>
  </si>
  <si>
    <t>NCSFN0406962</t>
  </si>
  <si>
    <t>Vinegar Hill Lead Site</t>
  </si>
  <si>
    <t>Tarbor City</t>
  </si>
  <si>
    <t>VH-BG-SS-B</t>
  </si>
  <si>
    <t>VH-BG-SB-B</t>
  </si>
  <si>
    <t>williams store- background</t>
  </si>
  <si>
    <t>NC0002178580</t>
  </si>
  <si>
    <t>Virginia Carolina Chemical (VCC) Almont Works</t>
  </si>
  <si>
    <t>VC-BKG-SL</t>
  </si>
  <si>
    <t>VC-BKG2-SL</t>
  </si>
  <si>
    <t>VC-006-SD</t>
  </si>
  <si>
    <t>NCSFN0406924</t>
  </si>
  <si>
    <t>Virginia Carolina Chemical (VCC) Wadesboro</t>
  </si>
  <si>
    <t>Wadesboro</t>
  </si>
  <si>
    <t xml:space="preserve">Anson </t>
  </si>
  <si>
    <t>MW-4 (4-5' BGS)</t>
  </si>
  <si>
    <t>MW-4 (10-12' BGS)</t>
  </si>
  <si>
    <t>MW-4 (18-20' BGS)</t>
  </si>
  <si>
    <t>MW-5 (4.5-5' BGS)</t>
  </si>
  <si>
    <t>MW-5 (9-9.5' BGS)</t>
  </si>
  <si>
    <t>MW-5 (15-16' BGS)</t>
  </si>
  <si>
    <t>NCN000410344</t>
  </si>
  <si>
    <t>Virginia Carolina Chemical (VCC) Winston-Salem</t>
  </si>
  <si>
    <t>BGM-1-2</t>
  </si>
  <si>
    <t>BGM-1-5</t>
  </si>
  <si>
    <t>BGM-2-2</t>
  </si>
  <si>
    <t>BGM-2-5</t>
  </si>
  <si>
    <t>BGM-3-2</t>
  </si>
  <si>
    <t>BGM-3-5</t>
  </si>
  <si>
    <t>BGM-4-2</t>
  </si>
  <si>
    <t>BGM-4-5</t>
  </si>
  <si>
    <t>BGM-5-2</t>
  </si>
  <si>
    <t>BGM-5-5</t>
  </si>
  <si>
    <t>NCD003202603</t>
  </si>
  <si>
    <t>Ward Transformer</t>
  </si>
  <si>
    <t>WT-003-SD</t>
  </si>
  <si>
    <t>WT-009-SL</t>
  </si>
  <si>
    <t>WA-015-SL</t>
  </si>
  <si>
    <t>WA-001-SD</t>
  </si>
  <si>
    <t>WA-006-SD</t>
  </si>
  <si>
    <t>WA-007-SD</t>
  </si>
  <si>
    <t>NCD991278540</t>
  </si>
  <si>
    <t>Weyerhaeuser Co Plymouth Wood Treating Plt</t>
  </si>
  <si>
    <t>Plymouth</t>
  </si>
  <si>
    <t>CC-6</t>
  </si>
  <si>
    <t>CC-8</t>
  </si>
  <si>
    <t>MT-1</t>
  </si>
  <si>
    <t>NC0001279710</t>
  </si>
  <si>
    <t>Woody Wilson Battery</t>
  </si>
  <si>
    <t>McCain</t>
  </si>
  <si>
    <t>WW-001-SL</t>
  </si>
  <si>
    <t>WW-001-SB</t>
  </si>
  <si>
    <t>NCN000407243</t>
  </si>
  <si>
    <t>Woody's Salvage Yard</t>
  </si>
  <si>
    <t>Vander</t>
  </si>
  <si>
    <t>WS-13-SB</t>
  </si>
  <si>
    <t>WS-13-SS</t>
  </si>
  <si>
    <t>WSY-004-SD</t>
  </si>
  <si>
    <t>WSY-005-SD</t>
  </si>
  <si>
    <t>NCD072003635</t>
  </si>
  <si>
    <t xml:space="preserve">Athol Mfg Corp </t>
  </si>
  <si>
    <t>Butner</t>
  </si>
  <si>
    <t>NCD096158696</t>
  </si>
  <si>
    <t>Burlington Ind. Chem Div 0675</t>
  </si>
  <si>
    <t>BS-1</t>
  </si>
  <si>
    <t>BS-2</t>
  </si>
  <si>
    <t>BS-3</t>
  </si>
  <si>
    <t>BS-4</t>
  </si>
  <si>
    <t>BS-5</t>
  </si>
  <si>
    <t>NCD067178707</t>
  </si>
  <si>
    <t>Fawn Plastics Co Inc Middlesex</t>
  </si>
  <si>
    <t>Middlesex</t>
  </si>
  <si>
    <t>FPC-SS-01</t>
  </si>
  <si>
    <t>FPC-SB-01</t>
  </si>
  <si>
    <t xml:space="preserve">Superior Products Div of Seaboard Ind. </t>
  </si>
  <si>
    <t>SP-001-SD</t>
  </si>
  <si>
    <t>SP-207-SF</t>
  </si>
  <si>
    <t>NCD003184249</t>
  </si>
  <si>
    <t>NCD003155587</t>
  </si>
  <si>
    <t>Scott Aviaiton of Monroe</t>
  </si>
  <si>
    <t>NC6570024475</t>
  </si>
  <si>
    <t>Pope AFB</t>
  </si>
  <si>
    <t>Pope Air Force Base</t>
  </si>
  <si>
    <t>surface bkgd level</t>
  </si>
  <si>
    <t>subsufcace bkgd level</t>
  </si>
  <si>
    <t>NCD003167988</t>
  </si>
  <si>
    <t>Marantz Piano Co Inc</t>
  </si>
  <si>
    <t>Morgantown</t>
  </si>
  <si>
    <t>MP-SD-02</t>
  </si>
  <si>
    <t>NCD051739209</t>
  </si>
  <si>
    <t>Harrelson Rubber Co Inc</t>
  </si>
  <si>
    <t>S-5</t>
  </si>
  <si>
    <t>NCD043679349</t>
  </si>
  <si>
    <t>Genl Tire and Rubber Co</t>
  </si>
  <si>
    <t>BK001 (0.5' bgs)</t>
  </si>
  <si>
    <t>BK001 (5' bgs)</t>
  </si>
  <si>
    <t>BK001 (10' bgs)</t>
  </si>
  <si>
    <t>BK002 (0.5' bgs)</t>
  </si>
  <si>
    <t>BK002 (5' bgs)</t>
  </si>
  <si>
    <t>BK002 (10' bgs)</t>
  </si>
  <si>
    <t>BK003 (0.5' bgs)</t>
  </si>
  <si>
    <t>BK003 (5' bgs)</t>
  </si>
  <si>
    <t>BK003 (10' bgs)</t>
  </si>
  <si>
    <t>NCD000773515</t>
  </si>
  <si>
    <t>GA-Pacific Corp Hdwd Saw</t>
  </si>
  <si>
    <t>Bowdens</t>
  </si>
  <si>
    <t>Duplin</t>
  </si>
  <si>
    <t>GD-SS-01</t>
  </si>
  <si>
    <t>NCD000773507</t>
  </si>
  <si>
    <t>GH-SS-01</t>
  </si>
  <si>
    <t>GH-SED-01</t>
  </si>
  <si>
    <t>NCD000813600</t>
  </si>
  <si>
    <t>GA-Pacific Corp Chip-N-Saw</t>
  </si>
  <si>
    <t>GC-SS-01</t>
  </si>
  <si>
    <t>NCD057454670</t>
  </si>
  <si>
    <t>BG-1 (0-2.5' bgs)</t>
  </si>
  <si>
    <t>BG-1 (2.5-5' bgs)</t>
  </si>
  <si>
    <t>BG-3 (0-2.5' bgs)</t>
  </si>
  <si>
    <t>BG-3 (2.5-5' bgs)</t>
  </si>
  <si>
    <t>BG-2 (0-2.5' bgs)</t>
  </si>
  <si>
    <t>BG-2 (5-7.5' bgs)</t>
  </si>
  <si>
    <t>BG-4 (0-2.5' bgs)</t>
  </si>
  <si>
    <t>BG-4 (5-7.5' bgs)</t>
  </si>
  <si>
    <t>BG-5 (2.5'-5 bgs)</t>
  </si>
  <si>
    <t>BG-5 (0-2.5' bgs)</t>
  </si>
  <si>
    <t>BG-6 (0-2.5' bgs)</t>
  </si>
  <si>
    <t>BG-6 (5-7.5' bgs)</t>
  </si>
  <si>
    <t>NCD074511361</t>
  </si>
  <si>
    <t>Aquair Corp</t>
  </si>
  <si>
    <t>BAC-1</t>
  </si>
  <si>
    <t>BAC-2</t>
  </si>
  <si>
    <t>NCD986197267</t>
  </si>
  <si>
    <t>Elizabeth City Coal Gas Plant</t>
  </si>
  <si>
    <t>HA-42</t>
  </si>
  <si>
    <t>HA-43 (0-5' bgs)</t>
  </si>
  <si>
    <t>HA-43 (1-2' bgs)</t>
  </si>
  <si>
    <t>HA-44 (0-5' bgs)</t>
  </si>
  <si>
    <t>HA-44 (1-2' bgs)</t>
  </si>
  <si>
    <t>HA-44 (4-6' bgs)</t>
  </si>
  <si>
    <t>HA-45 (0-5' bgs)</t>
  </si>
  <si>
    <t>HA-45 (1-2' bgs)</t>
  </si>
  <si>
    <t>HA-45 (4-6' bgs)</t>
  </si>
  <si>
    <t xml:space="preserve">Sample </t>
  </si>
  <si>
    <t>Qualifier</t>
  </si>
  <si>
    <t xml:space="preserve">How I handled it </t>
  </si>
  <si>
    <t>reservations, comments, ect.</t>
  </si>
  <si>
    <t>Drutan Products</t>
  </si>
  <si>
    <t xml:space="preserve">Q-2: "result greater than MDL but less than MRL" </t>
  </si>
  <si>
    <t xml:space="preserve">RL entered as U val </t>
  </si>
  <si>
    <t xml:space="preserve">Q-2: "result greater than MDL but less than MRL"; Q-5: "serial dilution precision outside method control limits" </t>
  </si>
  <si>
    <t xml:space="preserve">AMP Inc </t>
  </si>
  <si>
    <t>J: "estimated value"</t>
  </si>
  <si>
    <t xml:space="preserve">unknown bias </t>
  </si>
  <si>
    <t xml:space="preserve">J: "estimated value";  N: "presumptive evidence of presence of materieal" </t>
  </si>
  <si>
    <t>Asheland Petrolium Co</t>
  </si>
  <si>
    <t xml:space="preserve">Mn </t>
  </si>
  <si>
    <t xml:space="preserve">R: "QC indicates data not usebale." </t>
  </si>
  <si>
    <t>discard data pt.</t>
  </si>
  <si>
    <t xml:space="preserve">J: "serial dilution percent difference= 21.3%" </t>
  </si>
  <si>
    <t>low bias</t>
  </si>
  <si>
    <t xml:space="preserve">J: "serial dilution percent difference= 31.6%" "blind spike recovery &lt; action limit" </t>
  </si>
  <si>
    <t>J:"only analysis of 2x CRDL std required by contract SOW for ICP analysis"</t>
  </si>
  <si>
    <t>enter as detect</t>
  </si>
  <si>
    <t>J:"matrix spike recovery= 194.6%"</t>
  </si>
  <si>
    <t>high bias</t>
  </si>
  <si>
    <t xml:space="preserve">J: "serial dilution percent difference= 50%" </t>
  </si>
  <si>
    <t>J: "estimated value" (no reason listed)</t>
  </si>
  <si>
    <t>J:"serial dilution percent difference= 10.2%"</t>
  </si>
  <si>
    <t xml:space="preserve">J:"serial dilution percent difference= 119.8%" "blind spike recovery &lt; action limit" </t>
  </si>
  <si>
    <t>discard data point</t>
  </si>
  <si>
    <t>J:"matrix duplicate RPD= 70.9%"</t>
  </si>
  <si>
    <t>J: "Detected but below the Reporting Limit (lowest calibration standard); therefore, result is an estimated concentration"</t>
  </si>
  <si>
    <t>MS-7: "Matrix spike recovery is outside of control limits. Analysis is in control based on laboratory fortified blank recovery. Possiblity of sample matrix effects that lead to low bias for reported result or non-homogeneous sample aliquot cannot be eliminated."</t>
  </si>
  <si>
    <t>NCD000830646</t>
  </si>
  <si>
    <t xml:space="preserve">J: "identification of analyte is acceptable; reported value is an estimate."  </t>
  </si>
  <si>
    <t>J: "PE sample recovery &lt;action limit"</t>
  </si>
  <si>
    <t>J: "PE sample recovery &lt;warning limit"</t>
  </si>
  <si>
    <t>J: "matrix spike recovery = 17%"</t>
  </si>
  <si>
    <t xml:space="preserve">J:"matrix spike recovery= 69%" "PE sample recovery &lt;warning limits" </t>
  </si>
  <si>
    <t>Capr Fear Wood Preserving Co</t>
  </si>
  <si>
    <t>J: "the identificatio of the chemical is acceptable, but the quanitative value is an estimate"</t>
  </si>
  <si>
    <t xml:space="preserve">JN: "the chemical is tenatively identified. The value preceeding the JN is estimated" </t>
  </si>
  <si>
    <t xml:space="preserve">R: "presence or absence of analyte cannot be determined due to severe quality control problems. Data are rejected and considered unuseable" </t>
  </si>
  <si>
    <t>J:"serial dilution % difference = 14.7"</t>
  </si>
  <si>
    <t xml:space="preserve">J: "matrix duplicate RPD= 48.9 %" </t>
  </si>
  <si>
    <t>J: "value is above CRDL and is an estimated value bacause of QC protocal"</t>
  </si>
  <si>
    <r>
      <t>N: " Spiked sample recovery not withinn control limits"</t>
    </r>
    <r>
      <rPr>
        <b/>
        <sz val="11"/>
        <color theme="1"/>
        <rFont val="Calibri"/>
        <family val="2"/>
        <scheme val="minor"/>
      </rPr>
      <t xml:space="preserve"> *</t>
    </r>
    <r>
      <rPr>
        <sz val="11"/>
        <color theme="1"/>
        <rFont val="Calibri"/>
        <family val="2"/>
        <scheme val="minor"/>
      </rPr>
      <t>: "duplicate analysis not withinn control limits"</t>
    </r>
  </si>
  <si>
    <r>
      <t>N: " Spiked sample recovery not withinn control limits"</t>
    </r>
    <r>
      <rPr>
        <b/>
        <sz val="11"/>
        <color theme="1"/>
        <rFont val="Calibri"/>
        <family val="2"/>
        <scheme val="minor"/>
      </rPr>
      <t xml:space="preserve"> </t>
    </r>
  </si>
  <si>
    <t>*: "duplicate analysis not withinn control limits"</t>
  </si>
  <si>
    <t>not sure if I handled this properly</t>
  </si>
  <si>
    <t>B: "compound was found in the blank sample"</t>
  </si>
  <si>
    <t>discard data pt. (failed the 10x test)</t>
  </si>
  <si>
    <t>J: " Result is less than RL but greater than or equal to MDL and the conc is an approx value"</t>
  </si>
  <si>
    <t>B: "compound was found in the blank sample" (also had a J flag)</t>
  </si>
  <si>
    <t>N: "spike recoveries outside QC protocols, which indicates a possible matrix problem. Data may be biased high or low."</t>
  </si>
  <si>
    <t>[ ]  BN:  "value is real, but is above instrument DL and below CRDL" "spike recoveries outside QC protocols, which indicates a possible matrix problem. Data may be biased high or low."</t>
  </si>
  <si>
    <t>discard data point- no CRDL given</t>
  </si>
  <si>
    <t>[ ]  B:  "value is real, but is above instrument DL and below CRDL"</t>
  </si>
  <si>
    <t>J: "result is less than RL but greater than MDL…approx val" B: "compd found in blank sample"</t>
  </si>
  <si>
    <t>discard (failed 10x test)</t>
  </si>
  <si>
    <t>B: "compd found in blank sample"</t>
  </si>
  <si>
    <t>enter as detect (passed 10x test)</t>
  </si>
  <si>
    <t xml:space="preserve">J: "result is less than RL but greater than MDL…approx val" </t>
  </si>
  <si>
    <t>J: "value is estimated"</t>
  </si>
  <si>
    <t>unknown bias</t>
  </si>
  <si>
    <t>HB-SD-01</t>
  </si>
  <si>
    <t>REPORT SHEET GIVEN DID NOT MATCH… I used partial qualifier key at bottom of page</t>
  </si>
  <si>
    <t xml:space="preserve">J: "estimated value below quanitation limit" (CRDL/CRQL) </t>
  </si>
  <si>
    <t>J:"the reported value is between the laboratory MDL and the MRL…"</t>
  </si>
  <si>
    <t>discard data point-no MRL given</t>
  </si>
  <si>
    <t>J  (no explaination-- or I accidentally croped it out of the pdf)</t>
  </si>
  <si>
    <t>R (no explaination-- or I accidentally croped it out of the pdf)</t>
  </si>
  <si>
    <t>discard data pt</t>
  </si>
  <si>
    <t>J:"serial dilution % difference = 13.1"</t>
  </si>
  <si>
    <t>J: "only analysis of 2x CRDL standard required by contract SOW for ICP analysis"</t>
  </si>
  <si>
    <t xml:space="preserve">J: "matrix duplicate RPD= 40.8 %" </t>
  </si>
  <si>
    <t xml:space="preserve">J: "serial dilution % difference= 15.2" </t>
  </si>
  <si>
    <t xml:space="preserve">J: "matrix spike recovery= 175.1" </t>
  </si>
  <si>
    <t xml:space="preserve">J: "matrix duplicate RPD= 84.2 %" </t>
  </si>
  <si>
    <t xml:space="preserve">J: "matrix duplicate RPD= 35.4" </t>
  </si>
  <si>
    <t>J: "matrix spike recovery =62.5%"</t>
  </si>
  <si>
    <t>J: "lab dup RPD high"</t>
  </si>
  <si>
    <t>J: "Fasle pos in ICS"</t>
  </si>
  <si>
    <t>J: " CRDL %R Low"</t>
  </si>
  <si>
    <t>J: "matrix duplicate RPD= 100.2%"</t>
  </si>
  <si>
    <t>this seems high</t>
  </si>
  <si>
    <t>J: "matrix duplicate RPD= 43%"</t>
  </si>
  <si>
    <t>J: "matrix spike recovery= 70.4%" "matrix duplicate RPD= 53%"</t>
  </si>
  <si>
    <t>J: "matrix duplicate RPD= 91.8%"</t>
  </si>
  <si>
    <t>J: "serial dilution % difference= 13%"</t>
  </si>
  <si>
    <t xml:space="preserve">[ ]BN: "value is real but is above DL and below CRDL"  "Spike recoveries outside QC protocols which indicates a possible matrix problem. Data may be biased high or low" </t>
  </si>
  <si>
    <t>CRDL entered as U val</t>
  </si>
  <si>
    <t xml:space="preserve">[ ]BE: "value is real but is above DL and below CRDL"  "estimated or not reported due to interference. (interp- anaylte or element was not detected or val may be semiquanitative)" </t>
  </si>
  <si>
    <t xml:space="preserve">[ ]B: "value is real but is above DL and below CRDL" </t>
  </si>
  <si>
    <t xml:space="preserve">N: "Spike recoveries outside QC protocols which indicates a possible matrix problem. Data may be biased high or low" </t>
  </si>
  <si>
    <t xml:space="preserve">[ ]BMN: "value is real but is above DL and below CRDL" "duplicate injection precison not met" "Spike recoveries outside QC protocols which indicates a possible matrix problem. Data may be biased high or low" </t>
  </si>
  <si>
    <t>J: "matrix spike recovery =39.5%"</t>
  </si>
  <si>
    <t>J: "serial dilution % differnce= 31.5%"</t>
  </si>
  <si>
    <t>J: "matrix spike recovery =72.1%"</t>
  </si>
  <si>
    <t>SC-SD-01</t>
  </si>
  <si>
    <t>J: "matrix spike recovery = 62%"</t>
  </si>
  <si>
    <t>J: "matrix duplicate RPD= 81.4%"</t>
  </si>
  <si>
    <t xml:space="preserve">J: "estimated value" </t>
  </si>
  <si>
    <t>TQ-SS-01</t>
  </si>
  <si>
    <t>J: "concentraiton estimated"</t>
  </si>
  <si>
    <t>J: "indicates an estimated value"</t>
  </si>
  <si>
    <t>CLP36: "Identificaiton/concentration of analyte not confirmed by ICP-MS</t>
  </si>
  <si>
    <t>Q-5: "serial dilution precison outside control limits" J: "the identificatio of the chemical is acceptable, but the quanitative value is an estimate"</t>
  </si>
  <si>
    <t>CLP26: "PE sample recovery scored as warning high" J: "the identificatio of the chemical is acceptable, but the quanitative value is an estimate"</t>
  </si>
  <si>
    <t>Q-2: "result greater than MDL but less than MRL" J: "the identificatio of the chemical is acceptable, but the quanitative value is an estimate"</t>
  </si>
  <si>
    <t>enter as U val</t>
  </si>
  <si>
    <t>J: "…blind spike recovery &gt; warning limit"</t>
  </si>
  <si>
    <t xml:space="preserve">R: "indicates that the data is unuseable" </t>
  </si>
  <si>
    <t>couldn’t find actual data sheets</t>
  </si>
  <si>
    <t>B: "anaylte was detected above instrument detcection  limit but below the contract required detect limit"</t>
  </si>
  <si>
    <t>discard data point-no CRDL given</t>
  </si>
  <si>
    <t>J: "matrix precision outside method acceptance criteria" A: "analyte is analyzed in replicate. Reported value is an average of replicates."</t>
  </si>
  <si>
    <t>A: "analyte is analyzed in replicate. Reported value is an average of replicates."</t>
  </si>
  <si>
    <t>J: "the identificatio of the chemical is acceptable; the reported value is an estimate"</t>
  </si>
  <si>
    <t>** :"70mg/kg is the natural concentration of As in surface soil as established by the NC Superfund Section's evaluation of the Hamilton Tract data."</t>
  </si>
  <si>
    <t xml:space="preserve">Pb </t>
  </si>
  <si>
    <t>QM-1: "matrix spike recovery less than method control limits" J: "the identificatio of the chemical is acceptable, but the quanitative value is an estimate"</t>
  </si>
  <si>
    <t>CLP-07: "PE sample recovery outside warning limits" Q-2: "result greater than MDl but less than MRL" QM-1: "matrix spike recovery less than method control limits" J: "the identificatio of the chemical is acceptable, but the quanitative value is an estimate"</t>
  </si>
  <si>
    <t>Q-2: "result greater than MDl but less than MRL" J: "the identificatio of the chemical is acceptable, but the quanitative value is an estimate"</t>
  </si>
  <si>
    <t>CLP-07: "PE sample recovery outside warning limits" J: "the identificatio of the chemical is acceptable, but the quanitative value is an estimate"</t>
  </si>
  <si>
    <t>Q-2: "result greater than MDl but less than MRL" Q-5: "serial dilution precison outside control limits" J: "the identificatio of the chemical is acceptable, but the quanitative value is an estimate"</t>
  </si>
  <si>
    <t>CLP-07: "PE sample recovery outside warning limits" QM-1: "matrix spike recovery less than method control limits" J: "the identificatio of the chemical is acceptable, but the quanitative value is an estimate"</t>
  </si>
  <si>
    <t xml:space="preserve">QM-1: "matrix spike recovery less than method control limits" J: "the identificatio of the chemical is acceptable, but the quanitative value is an estimate" Q-2: "result greater than MDl but less than MRL" </t>
  </si>
  <si>
    <t>CLP-07: "PE sample recovery outside warning limits"  QM-1: "matrix spike recovery less than method control limits" U: "the analyte was not detected at or above the reporting limit"</t>
  </si>
  <si>
    <t>CLP-07: "PE sample recovery outside warning limits" Q-2: "result greater than MDl but less than MRL" J: "the identificatio of the chemical is acceptable, but the quanitative value is an estimate"</t>
  </si>
  <si>
    <t>R  (no explaination-- or I accidentally croped it out of the pdf)</t>
  </si>
  <si>
    <t>Landcaster Plating Co</t>
  </si>
  <si>
    <t>QM-4: "matrix percison outside control limits" J: "the identificatio of the chemical is acceptable, but the quanitative value is an estimate"</t>
  </si>
  <si>
    <t>CRa: "PE scored as warning low" J: "the identificatio of the chemical is acceptable, but the quanitative value is an estimate"</t>
  </si>
  <si>
    <t>discard point</t>
  </si>
  <si>
    <t>UNSURE if I handled this properly</t>
  </si>
  <si>
    <t>Q-5: "serial dilution precision outside method control limits" Q-M2: "matrix spike recovery greater than method control limits" QM-4: "matrix percison outside control limits" J: "the identificatio of the chemical is acceptable, but the quanitative value is an estimate"</t>
  </si>
  <si>
    <t>seems like a lot went wrong here (that’s why I discarded it-- the serial diluiton prob and the matrix spike prob)</t>
  </si>
  <si>
    <t>CRa: "PE scored as warning low" Q-2: "result greater than MDl but less than MRL" J: "the identificatio of the chemical is acceptable, but the quanitative value is an estimate"</t>
  </si>
  <si>
    <t>Q-2: "result greater than MDl but less than MRL" QM-4: "matrix percison outside control limits" J: "the identificatio of the chemical is acceptable, but the quanitative value is an estimate"</t>
  </si>
  <si>
    <r>
      <rPr>
        <b/>
        <sz val="11"/>
        <color theme="1"/>
        <rFont val="Calibri"/>
        <family val="2"/>
        <scheme val="minor"/>
      </rPr>
      <t>CLP03:</t>
    </r>
    <r>
      <rPr>
        <sz val="11"/>
        <color theme="1"/>
        <rFont val="Calibri"/>
        <family val="2"/>
        <scheme val="minor"/>
      </rPr>
      <t xml:space="preserve"> "baseline instability in calibration or prepatation of blanks" Q-2: "result greater than MDl but less than MRL" J: "the identificatio of the chemical is acceptable, but the quanitative value is an estimate" (and U)</t>
    </r>
  </si>
  <si>
    <t>QM-2: "matrix spike recovery greater than method control limits" J: "the identificatio of the chemical is acceptable, but the quanitative value is an estimate"</t>
  </si>
  <si>
    <t>B: "estimated quanitation; value is below reporting limit" (and &gt;MDL) J: "estimated quanitation; various reasons"</t>
  </si>
  <si>
    <t>J: "estimated quanitation; various reasons"</t>
  </si>
  <si>
    <t>UB: "not detected; compound was present in an assoiated blank"</t>
  </si>
  <si>
    <t xml:space="preserve">I couldn’t find the blank sample(or accidently missed it) so point was thrown out to be safe  </t>
  </si>
  <si>
    <t>J: "% RSD &gt; 20% for ICP multiple exposures"</t>
  </si>
  <si>
    <t>J: "matrix spike recovery = 126%"</t>
  </si>
  <si>
    <t xml:space="preserve">J: "blind spike recovery &lt; warning limit" </t>
  </si>
  <si>
    <t xml:space="preserve">B: "reported value is greater than the Estimated Qunaitation Limit, but less than the Contract Required Quanitation Limit"  </t>
  </si>
  <si>
    <t xml:space="preserve">Nj: "spiked sample recovery not withinn control limits AND concentration considered an estimate based on data validation" </t>
  </si>
  <si>
    <t xml:space="preserve">Bu: "reported value is greater than the Estimated Qunaitation Limit, but less than the Contract Required Quanitation Limit. AND laboratory result judged to be not detected based on data validation"  </t>
  </si>
  <si>
    <t xml:space="preserve">J: "blind spike recovery &gt; warning limit" </t>
  </si>
  <si>
    <t>not sure if handeled properly (I kept the data because most of the non- bkgd smples had higher []'s )</t>
  </si>
  <si>
    <t xml:space="preserve">J: "blind spike recovery &gt; action limit" </t>
  </si>
  <si>
    <t xml:space="preserve">J: "estimated value"  </t>
  </si>
  <si>
    <t>R (no explaination)</t>
  </si>
  <si>
    <t xml:space="preserve">J: "estimated value" N: "presumptive evidence of material" </t>
  </si>
  <si>
    <t>J: "estmated value"</t>
  </si>
  <si>
    <t>Stanadyne Inc. (onslow)</t>
  </si>
  <si>
    <t>Stanadyne, Inc (beaufort)</t>
  </si>
  <si>
    <t xml:space="preserve">J: "ICP interferences" </t>
  </si>
  <si>
    <t>J: " estimated value between the RL and the MDL"</t>
  </si>
  <si>
    <t>Q-2: "result greater than MDL but less than MRL", CLP-26: "PE sample recovery scored as warning high" J:"the identification of the analyte is acceptable; the reported value is an estimate."</t>
  </si>
  <si>
    <t>maybe discard b/c of PE flag</t>
  </si>
  <si>
    <t>Q-2: "result greater than MDL but less than MRL" J:"the identification of the analyte is acceptable; the reported value is an estimate."</t>
  </si>
  <si>
    <t>Q-5: "serial dilution precision outside control limits" J:"the identification of the analyte is acceptable; the reported value is an estimate."</t>
  </si>
  <si>
    <t>CLP-26: "PE sample recovery scored as warning high" J:"the identification of the analyte is acceptable; the reported value is an estimate."</t>
  </si>
  <si>
    <t>Q-2: "result greater than MDL but less than MRL" Q-5: "serial dilution precision outside control limits"  J:"the identification of the analyte is acceptable; the reported value is an estimate."</t>
  </si>
  <si>
    <t>maybe discard…seems like a lot went wrong</t>
  </si>
  <si>
    <t xml:space="preserve">I couldn’t find the original report matt pulled from CARA so I was unable to locate full qualifier reports for all "NM-##-SD/SSD" samples </t>
  </si>
  <si>
    <t>J: "matrix duplicate RPD = 59.2"</t>
  </si>
  <si>
    <t>J: "matrix duplicate RPD = 47.2"</t>
  </si>
  <si>
    <t xml:space="preserve">J: "serial dilution percenct difference = 16.3%" </t>
  </si>
  <si>
    <t xml:space="preserve">J: "serial dilution percenct difference = 14.7%" </t>
  </si>
  <si>
    <t>J: "matrix duplicate RPD = 58.2"</t>
  </si>
  <si>
    <t>R: "the presence or absence of the analyte can not be determined from the data due to severe quality problems. The data are rejected and considerec unusable"</t>
  </si>
  <si>
    <t>Q-2: "result greater than MDL but less than MRL" QM-4: "matrix percison outside control limits" J: "the identificatio of the chemical is acceptable, but the quanitative value is an estimate"</t>
  </si>
  <si>
    <t>Q-2: "result greater than MDL but less than MRL" Q-5: "serial dilution precision outside control limits" J:"the identification of the analyte is acceptable; the reported value is an estimate."</t>
  </si>
  <si>
    <t>J: "concentration estimated"</t>
  </si>
  <si>
    <t xml:space="preserve">J: "concentration estimated" N: "presence of contaminant presumed" </t>
  </si>
  <si>
    <t>J: "lab. dup. imprecison."</t>
  </si>
  <si>
    <t xml:space="preserve">J: "Neg. blank contam." </t>
  </si>
  <si>
    <t>DON’T KNOW IF I HANDLED PROPERLY</t>
  </si>
  <si>
    <t xml:space="preserve">J: "Low MS %R in soils and lab. dup. imprecison for waters" </t>
  </si>
  <si>
    <t>J: "serial dilution percent difference= 163.7"</t>
  </si>
  <si>
    <t>dilution seemed to high to keep data</t>
  </si>
  <si>
    <t>J: "calibration curve r &lt;.995"</t>
  </si>
  <si>
    <t>J: "serial diluiton percent differnce= 13.4%"</t>
  </si>
  <si>
    <t xml:space="preserve">R: "indicates that the data is unuseable…resampling is necessary for verification" </t>
  </si>
  <si>
    <t xml:space="preserve">J: "concentration estimated" </t>
  </si>
  <si>
    <t>JN: "suspected positive interference as noted in the blind contractor ICS"</t>
  </si>
  <si>
    <t xml:space="preserve">J: "serial dilution percent difference = 21.6%" </t>
  </si>
  <si>
    <t>R: "blind spike recovery= 0%"</t>
  </si>
  <si>
    <t>B (no description)</t>
  </si>
  <si>
    <t>discard data point (failed 10x test)</t>
  </si>
  <si>
    <t>QM-4: "matrix spike recovery greater than control limits" J: "the identificatio of the chemical is acceptable, but the quanitative value is an estimate"</t>
  </si>
  <si>
    <t>J: "matrix spike recovery= 54.8%"</t>
  </si>
  <si>
    <t>J: "serial dilution % defference = 13.7%"</t>
  </si>
  <si>
    <t>J: "suspected over correction as noted in the contractor ICS"</t>
  </si>
  <si>
    <t>J: "matrix dup RPD = 84.7%"</t>
  </si>
  <si>
    <t>J: "matrix dup RPD = 100.2%"</t>
  </si>
  <si>
    <t>J: "matrix dup RPD = 43%"</t>
  </si>
  <si>
    <t>J: "matrix dup RPD = 91.8%"</t>
  </si>
  <si>
    <t>J: "estimated concentration greater than method detection limit but less than lab reporting limit"</t>
  </si>
  <si>
    <t>discard data point (no lab reporting limit given)</t>
  </si>
  <si>
    <t xml:space="preserve">B: "compound found in the assoiated blank" </t>
  </si>
  <si>
    <t>discard data point (could not find the assoiated blank)</t>
  </si>
  <si>
    <t xml:space="preserve">B: "detected in method blank" </t>
  </si>
  <si>
    <t xml:space="preserve">J: "estimated result &lt; PQL and &gt;_MDL" </t>
  </si>
  <si>
    <t>PQL entered as U val</t>
  </si>
  <si>
    <t>J: "estimated concentration"</t>
  </si>
  <si>
    <t>no data sheets found</t>
  </si>
  <si>
    <t>"#" used as imput where no data was given for a metal</t>
  </si>
  <si>
    <t>complete suite of metals :)</t>
  </si>
  <si>
    <t xml:space="preserve">dark blue bar: where alexis begins logging </t>
  </si>
  <si>
    <t>denotes a value listed as "J" that is uncorrected</t>
  </si>
  <si>
    <t>denotes a value listed as "J" that alexis corrected for bias</t>
  </si>
  <si>
    <t>if a J val was already corrected, cell left white</t>
  </si>
  <si>
    <t>DO NOT USE MACROS!!! IT HAS A BUG IN THE Zn AND Hg IMPUT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</si>
</sst>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_(* #,##0_);_(* \(#,##0\);_(* &quot;&quot;??_);_(@_)"/>
    <numFmt numFmtId="166" formatCode="_(* #,##0.0000_);_(* \(#,##0.0000\);_(* &quot;-&quot;??_);_(@_)"/>
    <numFmt numFmtId="167" formatCode="#,##0.00_);"/>
    <numFmt numFmtId="168" formatCode="#,##0_);"/>
    <numFmt numFmtId="169" formatCode="#,##0.00####_);"/>
    <numFmt numFmtId="170" formatCode="##0____\);"/>
  </numFmts>
  <fonts count="20" x14ac:knownFonts="1">
    <font>
      <sz val="11"/>
      <color theme="1"/>
      <name val="Calibri"/>
      <family val="2"/>
      <scheme val="minor"/>
    </font>
    <font>
      <sz val="11"/>
      <color rgb="FF000000"/>
      <name val="Calibri"/>
      <family val="2"/>
      <scheme val="minor"/>
    </font>
    <font>
      <u/>
      <sz val="11"/>
      <color theme="10"/>
      <name val="Calibri"/>
      <family val="2"/>
      <scheme val="minor"/>
    </font>
    <font>
      <u/>
      <sz val="11"/>
      <color theme="11"/>
      <name val="Calibri"/>
      <family val="2"/>
      <scheme val="minor"/>
    </font>
    <font>
      <sz val="12"/>
      <color rgb="FF000000"/>
      <name val="Calibri"/>
      <family val="2"/>
      <scheme val="minor"/>
    </font>
    <font>
      <b/>
      <sz val="12"/>
      <color rgb="FF000000"/>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color rgb="FFFF0000"/>
      <name val="Calibri"/>
      <family val="2"/>
      <scheme val="minor"/>
    </font>
    <font>
      <sz val="10"/>
      <color theme="1"/>
      <name val="Calibri"/>
      <family val="2"/>
      <scheme val="minor"/>
    </font>
    <font>
      <sz val="11"/>
      <color theme="4" tint="0.79998168889431442"/>
      <name val="Calibri"/>
      <family val="2"/>
      <scheme val="minor"/>
    </font>
    <font>
      <sz val="11"/>
      <color theme="1"/>
      <name val="Calibri"/>
      <family val="2"/>
      <scheme val="minor"/>
    </font>
    <font>
      <sz val="9"/>
      <color indexed="81"/>
      <name val="Tahoma"/>
      <family val="2"/>
    </font>
    <font>
      <b/>
      <sz val="16"/>
      <color theme="1"/>
      <name val="Calibri"/>
      <family val="2"/>
      <scheme val="minor"/>
    </font>
    <font>
      <b/>
      <sz val="18"/>
      <color theme="1"/>
      <name val="Calibri"/>
      <family val="2"/>
      <scheme val="minor"/>
    </font>
    <font>
      <b/>
      <sz val="11"/>
      <color rgb="FF33CC33"/>
      <name val="Calibri"/>
      <family val="2"/>
      <scheme val="minor"/>
    </font>
    <font>
      <b/>
      <sz val="11"/>
      <color rgb="FF2593F7"/>
      <name val="Calibri"/>
      <family val="2"/>
      <scheme val="minor"/>
    </font>
    <font>
      <sz val="8"/>
      <color rgb="FF000000"/>
      <name val="Segoe UI"/>
      <charset val="1"/>
    </font>
  </fonts>
  <fills count="9">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theme="0" tint="-0.249977111117893"/>
      </left>
      <right style="thin">
        <color theme="0" tint="-0.249977111117893"/>
      </right>
      <top/>
      <bottom style="thin">
        <color theme="0" tint="-0.249977111117893"/>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13" fillId="0" borderId="0" applyFont="0" applyFill="0" applyBorder="0" applyAlignment="0" applyProtection="0"/>
  </cellStyleXfs>
  <cellXfs count="168">
    <xf numFmtId="0" fontId="0" fillId="0" borderId="0" xfId="0"/>
    <xf numFmtId="0" fontId="0" fillId="0" borderId="0" xfId="0" applyAlignment="1">
      <alignment horizontal="center"/>
    </xf>
    <xf numFmtId="0" fontId="1" fillId="0" borderId="0" xfId="0" applyFont="1"/>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0" fillId="0" borderId="0" xfId="0" applyNumberFormat="1"/>
    <xf numFmtId="0" fontId="0" fillId="2" borderId="0" xfId="0" applyFill="1"/>
    <xf numFmtId="0" fontId="0" fillId="2" borderId="0" xfId="0" applyFill="1" applyAlignment="1">
      <alignment horizontal="center"/>
    </xf>
    <xf numFmtId="0" fontId="7" fillId="2" borderId="0" xfId="0" applyFont="1" applyFill="1"/>
    <xf numFmtId="0" fontId="8" fillId="0" borderId="0" xfId="0" applyFont="1"/>
    <xf numFmtId="0" fontId="0" fillId="3" borderId="0" xfId="0" applyFill="1"/>
    <xf numFmtId="0" fontId="0" fillId="0" borderId="6" xfId="0" applyBorder="1" applyAlignment="1">
      <alignment vertical="top" wrapText="1"/>
    </xf>
    <xf numFmtId="0" fontId="0" fillId="4" borderId="0" xfId="0" applyFill="1"/>
    <xf numFmtId="0" fontId="0" fillId="2" borderId="5" xfId="0" applyFill="1" applyBorder="1"/>
    <xf numFmtId="0" fontId="0" fillId="2" borderId="6" xfId="0" applyFill="1" applyBorder="1" applyAlignment="1">
      <alignment vertical="top" wrapText="1"/>
    </xf>
    <xf numFmtId="0" fontId="0" fillId="2" borderId="0" xfId="0" applyFill="1" applyAlignment="1">
      <alignment vertical="top" wrapText="1"/>
    </xf>
    <xf numFmtId="0" fontId="9" fillId="4" borderId="0" xfId="0" applyFont="1" applyFill="1"/>
    <xf numFmtId="0" fontId="10" fillId="0" borderId="0" xfId="0" applyFont="1"/>
    <xf numFmtId="0" fontId="7" fillId="0" borderId="7" xfId="0" applyFont="1" applyBorder="1"/>
    <xf numFmtId="0" fontId="7" fillId="0" borderId="8" xfId="0" applyFont="1" applyBorder="1"/>
    <xf numFmtId="0" fontId="11" fillId="0" borderId="0" xfId="0" applyFont="1"/>
    <xf numFmtId="0" fontId="0" fillId="0" borderId="0" xfId="0" applyAlignment="1">
      <alignment vertical="top" wrapText="1"/>
    </xf>
    <xf numFmtId="0" fontId="0" fillId="0" borderId="9" xfId="0" applyBorder="1"/>
    <xf numFmtId="0" fontId="0" fillId="0" borderId="10" xfId="0" applyBorder="1" applyAlignment="1">
      <alignment vertical="top" wrapText="1"/>
    </xf>
    <xf numFmtId="0" fontId="7" fillId="0" borderId="9" xfId="0" applyFont="1" applyBorder="1"/>
    <xf numFmtId="0" fontId="0" fillId="0" borderId="9" xfId="0" applyBorder="1" applyAlignment="1">
      <alignment horizontal="center"/>
    </xf>
    <xf numFmtId="0" fontId="0" fillId="0" borderId="8" xfId="0" applyBorder="1"/>
    <xf numFmtId="0" fontId="0" fillId="0" borderId="5" xfId="0" applyBorder="1"/>
    <xf numFmtId="0" fontId="0" fillId="0" borderId="0" xfId="0" applyAlignment="1">
      <alignment horizontal="left"/>
    </xf>
    <xf numFmtId="0" fontId="0" fillId="2" borderId="0" xfId="0" applyFill="1" applyAlignment="1">
      <alignment horizontal="left"/>
    </xf>
    <xf numFmtId="0" fontId="0" fillId="0" borderId="8" xfId="0" applyBorder="1" applyAlignment="1">
      <alignment horizontal="center"/>
    </xf>
    <xf numFmtId="0" fontId="0" fillId="0" borderId="9" xfId="0" applyBorder="1" applyAlignment="1">
      <alignment horizontal="left"/>
    </xf>
    <xf numFmtId="0" fontId="12" fillId="0" borderId="0" xfId="0" applyFont="1"/>
    <xf numFmtId="0" fontId="7" fillId="0" borderId="0" xfId="0" applyFont="1"/>
    <xf numFmtId="16" fontId="0" fillId="0" borderId="0" xfId="0" applyNumberFormat="1"/>
    <xf numFmtId="0" fontId="0" fillId="0" borderId="11" xfId="0" applyBorder="1"/>
    <xf numFmtId="0" fontId="0" fillId="5" borderId="2" xfId="0" applyFill="1" applyBorder="1" applyAlignment="1">
      <alignment horizontal="center"/>
    </xf>
    <xf numFmtId="0" fontId="0" fillId="5" borderId="12" xfId="0" applyFill="1" applyBorder="1" applyAlignment="1">
      <alignment horizontal="center"/>
    </xf>
    <xf numFmtId="0" fontId="0" fillId="0" borderId="13" xfId="0" applyBorder="1"/>
    <xf numFmtId="0" fontId="0" fillId="0" borderId="14" xfId="0" applyBorder="1"/>
    <xf numFmtId="0" fontId="0" fillId="0" borderId="1" xfId="0" applyBorder="1"/>
    <xf numFmtId="0" fontId="0" fillId="0" borderId="1" xfId="0" applyBorder="1" applyAlignment="1">
      <alignment horizontal="center"/>
    </xf>
    <xf numFmtId="164" fontId="0" fillId="0" borderId="0" xfId="7" applyNumberFormat="1" applyFont="1"/>
    <xf numFmtId="164" fontId="0" fillId="0" borderId="1" xfId="7" applyNumberFormat="1" applyFont="1" applyBorder="1" applyAlignment="1">
      <alignment horizontal="center"/>
    </xf>
    <xf numFmtId="0" fontId="0" fillId="0" borderId="0" xfId="0" applyAlignment="1">
      <alignment horizontal="right"/>
    </xf>
    <xf numFmtId="0" fontId="0" fillId="6" borderId="0" xfId="0" applyFill="1"/>
    <xf numFmtId="0" fontId="0" fillId="6" borderId="19" xfId="0" applyFill="1" applyBorder="1"/>
    <xf numFmtId="0" fontId="0" fillId="6" borderId="11" xfId="0" applyFill="1" applyBorder="1"/>
    <xf numFmtId="0" fontId="0" fillId="6" borderId="20" xfId="0" applyFill="1" applyBorder="1"/>
    <xf numFmtId="0" fontId="0" fillId="6" borderId="21" xfId="0" applyFill="1" applyBorder="1"/>
    <xf numFmtId="0" fontId="0" fillId="6" borderId="22" xfId="0" applyFill="1" applyBorder="1"/>
    <xf numFmtId="0" fontId="0" fillId="6" borderId="23" xfId="0" applyFill="1" applyBorder="1"/>
    <xf numFmtId="0" fontId="0" fillId="6" borderId="9" xfId="0" applyFill="1" applyBorder="1"/>
    <xf numFmtId="164" fontId="0" fillId="6" borderId="9" xfId="7" applyNumberFormat="1" applyFont="1" applyFill="1" applyBorder="1"/>
    <xf numFmtId="0" fontId="0" fillId="6" borderId="24" xfId="0" applyFill="1" applyBorder="1"/>
    <xf numFmtId="0" fontId="0" fillId="5" borderId="25" xfId="0" applyFill="1" applyBorder="1" applyAlignment="1">
      <alignment horizontal="center"/>
    </xf>
    <xf numFmtId="0" fontId="0" fillId="5" borderId="15" xfId="0" applyFill="1" applyBorder="1" applyAlignment="1">
      <alignment horizontal="center"/>
    </xf>
    <xf numFmtId="164" fontId="0" fillId="0" borderId="0" xfId="7" applyNumberFormat="1" applyFont="1" applyFill="1" applyBorder="1"/>
    <xf numFmtId="164" fontId="0" fillId="0" borderId="0" xfId="7" applyNumberFormat="1" applyFont="1" applyAlignment="1">
      <alignment horizontal="left"/>
    </xf>
    <xf numFmtId="43" fontId="0" fillId="0" borderId="15" xfId="7" applyFont="1" applyBorder="1" applyAlignment="1">
      <alignment horizontal="right"/>
    </xf>
    <xf numFmtId="43" fontId="0" fillId="0" borderId="13" xfId="7" applyFont="1" applyBorder="1" applyAlignment="1">
      <alignment horizontal="right"/>
    </xf>
    <xf numFmtId="43" fontId="0" fillId="0" borderId="14" xfId="7" applyFont="1" applyBorder="1" applyAlignment="1">
      <alignment horizontal="right"/>
    </xf>
    <xf numFmtId="43" fontId="0" fillId="0" borderId="0" xfId="7" applyFont="1"/>
    <xf numFmtId="0" fontId="7" fillId="5" borderId="2" xfId="0" applyFont="1" applyFill="1" applyBorder="1" applyAlignment="1">
      <alignment horizontal="center"/>
    </xf>
    <xf numFmtId="0" fontId="0" fillId="0" borderId="13" xfId="0" applyBorder="1" applyAlignment="1">
      <alignment horizontal="right"/>
    </xf>
    <xf numFmtId="0" fontId="7" fillId="0" borderId="3" xfId="0" applyFont="1" applyBorder="1" applyAlignment="1">
      <alignment horizontal="center"/>
    </xf>
    <xf numFmtId="164" fontId="0" fillId="7" borderId="0" xfId="7" applyNumberFormat="1" applyFont="1" applyFill="1"/>
    <xf numFmtId="0" fontId="7" fillId="0" borderId="26" xfId="0" applyFont="1" applyBorder="1" applyAlignment="1">
      <alignment horizontal="center"/>
    </xf>
    <xf numFmtId="0" fontId="7" fillId="0" borderId="0" xfId="0" applyFont="1" applyAlignment="1">
      <alignment horizontal="right"/>
    </xf>
    <xf numFmtId="166" fontId="0" fillId="0" borderId="0" xfId="7" applyNumberFormat="1" applyFont="1"/>
    <xf numFmtId="0" fontId="0" fillId="0" borderId="0" xfId="7" applyNumberFormat="1" applyFont="1"/>
    <xf numFmtId="166" fontId="0" fillId="0" borderId="0" xfId="0" applyNumberFormat="1"/>
    <xf numFmtId="43" fontId="0" fillId="0" borderId="0" xfId="0" applyNumberFormat="1"/>
    <xf numFmtId="0" fontId="7" fillId="5" borderId="12" xfId="0" applyFont="1" applyFill="1" applyBorder="1" applyAlignment="1">
      <alignment horizontal="center"/>
    </xf>
    <xf numFmtId="0" fontId="7" fillId="0" borderId="2" xfId="0" applyFont="1" applyBorder="1"/>
    <xf numFmtId="43" fontId="7" fillId="0" borderId="4" xfId="0" applyNumberFormat="1" applyFont="1" applyBorder="1"/>
    <xf numFmtId="0" fontId="7" fillId="0" borderId="4" xfId="0" applyFont="1" applyBorder="1"/>
    <xf numFmtId="43" fontId="0" fillId="0" borderId="0" xfId="7" applyFont="1" applyFill="1" applyBorder="1" applyAlignment="1">
      <alignment horizontal="left"/>
    </xf>
    <xf numFmtId="0" fontId="0" fillId="0" borderId="15" xfId="0" applyBorder="1" applyAlignment="1">
      <alignment horizontal="right"/>
    </xf>
    <xf numFmtId="164" fontId="0" fillId="6" borderId="0" xfId="7" applyNumberFormat="1" applyFont="1" applyFill="1" applyBorder="1"/>
    <xf numFmtId="0" fontId="7" fillId="6" borderId="25" xfId="0" applyFont="1" applyFill="1" applyBorder="1" applyAlignment="1">
      <alignment horizontal="right"/>
    </xf>
    <xf numFmtId="0" fontId="0" fillId="6" borderId="27" xfId="0" applyFill="1" applyBorder="1"/>
    <xf numFmtId="0" fontId="0" fillId="6" borderId="16" xfId="0" applyFill="1" applyBorder="1"/>
    <xf numFmtId="0" fontId="7" fillId="6" borderId="28" xfId="0" applyFont="1" applyFill="1" applyBorder="1" applyAlignment="1">
      <alignment horizontal="right"/>
    </xf>
    <xf numFmtId="0" fontId="0" fillId="6" borderId="17" xfId="0" applyFill="1" applyBorder="1"/>
    <xf numFmtId="0" fontId="7" fillId="6" borderId="26" xfId="0" applyFont="1" applyFill="1" applyBorder="1" applyAlignment="1">
      <alignment horizontal="right"/>
    </xf>
    <xf numFmtId="0" fontId="0" fillId="6" borderId="1" xfId="0" applyFill="1" applyBorder="1"/>
    <xf numFmtId="0" fontId="0" fillId="6" borderId="18" xfId="0" applyFill="1" applyBorder="1"/>
    <xf numFmtId="165" fontId="0" fillId="0" borderId="13" xfId="7" applyNumberFormat="1" applyFont="1" applyBorder="1" applyAlignment="1">
      <alignment horizontal="left"/>
    </xf>
    <xf numFmtId="165" fontId="0" fillId="0" borderId="15" xfId="7" applyNumberFormat="1" applyFont="1" applyBorder="1" applyAlignment="1">
      <alignment horizontal="left"/>
    </xf>
    <xf numFmtId="165" fontId="0" fillId="0" borderId="14" xfId="7" applyNumberFormat="1" applyFont="1" applyBorder="1" applyAlignment="1">
      <alignment horizontal="left"/>
    </xf>
    <xf numFmtId="167" fontId="0" fillId="0" borderId="15" xfId="7" applyNumberFormat="1" applyFont="1" applyBorder="1" applyAlignment="1">
      <alignment horizontal="right"/>
    </xf>
    <xf numFmtId="0" fontId="0" fillId="0" borderId="25" xfId="0" applyBorder="1" applyAlignment="1">
      <alignment horizontal="right"/>
    </xf>
    <xf numFmtId="0" fontId="0" fillId="0" borderId="28" xfId="0" applyBorder="1" applyAlignment="1">
      <alignment horizontal="right"/>
    </xf>
    <xf numFmtId="167" fontId="0" fillId="0" borderId="13" xfId="7" applyNumberFormat="1" applyFont="1" applyBorder="1" applyAlignment="1">
      <alignment horizontal="right"/>
    </xf>
    <xf numFmtId="167" fontId="0" fillId="0" borderId="14" xfId="7" applyNumberFormat="1" applyFont="1" applyBorder="1" applyAlignment="1">
      <alignment horizontal="right"/>
    </xf>
    <xf numFmtId="168" fontId="0" fillId="0" borderId="15" xfId="7" applyNumberFormat="1" applyFont="1" applyBorder="1"/>
    <xf numFmtId="168" fontId="0" fillId="0" borderId="13" xfId="7" applyNumberFormat="1" applyFont="1" applyBorder="1"/>
    <xf numFmtId="168" fontId="0" fillId="0" borderId="14" xfId="0" applyNumberFormat="1" applyBorder="1"/>
    <xf numFmtId="169" fontId="0" fillId="0" borderId="0" xfId="0" applyNumberFormat="1"/>
    <xf numFmtId="169" fontId="0" fillId="0" borderId="0" xfId="7" applyNumberFormat="1" applyFont="1" applyAlignment="1">
      <alignment horizontal="right"/>
    </xf>
    <xf numFmtId="0" fontId="0" fillId="0" borderId="12" xfId="0" applyBorder="1" applyAlignment="1">
      <alignment horizontal="center"/>
    </xf>
    <xf numFmtId="0" fontId="0" fillId="0" borderId="13" xfId="0" applyBorder="1" applyAlignment="1">
      <alignment horizontal="center"/>
    </xf>
    <xf numFmtId="0" fontId="7" fillId="0" borderId="15" xfId="0" applyFont="1" applyBorder="1"/>
    <xf numFmtId="0" fontId="7" fillId="0" borderId="13" xfId="0" applyFont="1" applyBorder="1"/>
    <xf numFmtId="0" fontId="7" fillId="0" borderId="14" xfId="0" applyFont="1" applyBorder="1"/>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right"/>
      <protection locked="0"/>
    </xf>
    <xf numFmtId="164" fontId="0" fillId="0" borderId="0" xfId="7" applyNumberFormat="1" applyFont="1" applyProtection="1">
      <protection locked="0"/>
    </xf>
    <xf numFmtId="0" fontId="7" fillId="4" borderId="12" xfId="0" applyFont="1" applyFill="1" applyBorder="1" applyAlignment="1" applyProtection="1">
      <alignment horizontal="center"/>
      <protection locked="0"/>
    </xf>
    <xf numFmtId="0" fontId="0" fillId="6" borderId="0" xfId="0" applyFill="1" applyAlignment="1" applyProtection="1">
      <alignment horizontal="left"/>
      <protection locked="0"/>
    </xf>
    <xf numFmtId="0" fontId="7" fillId="6" borderId="0" xfId="0" applyFont="1" applyFill="1" applyAlignment="1" applyProtection="1">
      <alignment horizontal="center"/>
      <protection locked="0"/>
    </xf>
    <xf numFmtId="0" fontId="7" fillId="6" borderId="0" xfId="0" applyFont="1" applyFill="1"/>
    <xf numFmtId="0" fontId="7" fillId="6" borderId="0" xfId="0" applyFont="1" applyFill="1" applyProtection="1">
      <protection locked="0"/>
    </xf>
    <xf numFmtId="0" fontId="7" fillId="6" borderId="0" xfId="0" applyFont="1" applyFill="1" applyAlignment="1" applyProtection="1">
      <alignment horizontal="right"/>
      <protection locked="0"/>
    </xf>
    <xf numFmtId="0" fontId="0" fillId="5" borderId="26" xfId="0"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7" fillId="0" borderId="12" xfId="0" applyFont="1" applyBorder="1" applyAlignment="1" applyProtection="1">
      <alignment horizontal="center"/>
      <protection locked="0"/>
    </xf>
    <xf numFmtId="0" fontId="7" fillId="0" borderId="27" xfId="0" applyFont="1" applyBorder="1"/>
    <xf numFmtId="0" fontId="7" fillId="0" borderId="16" xfId="0" applyFont="1" applyBorder="1"/>
    <xf numFmtId="0" fontId="7" fillId="0" borderId="28" xfId="0" applyFont="1" applyBorder="1"/>
    <xf numFmtId="0" fontId="7" fillId="0" borderId="17" xfId="0" applyFont="1" applyBorder="1"/>
    <xf numFmtId="0" fontId="7" fillId="0" borderId="26" xfId="0" applyFont="1" applyBorder="1"/>
    <xf numFmtId="0" fontId="0" fillId="0" borderId="18" xfId="0" applyBorder="1"/>
    <xf numFmtId="0" fontId="17" fillId="0" borderId="12" xfId="0" applyFont="1" applyBorder="1" applyAlignment="1" applyProtection="1">
      <alignment horizontal="center"/>
      <protection locked="0"/>
    </xf>
    <xf numFmtId="170" fontId="18" fillId="0" borderId="12" xfId="7" applyNumberFormat="1" applyFont="1" applyFill="1" applyBorder="1" applyProtection="1">
      <protection locked="0"/>
    </xf>
    <xf numFmtId="0" fontId="18" fillId="0" borderId="13" xfId="0" applyFont="1" applyBorder="1" applyAlignment="1">
      <alignment horizontal="right"/>
    </xf>
    <xf numFmtId="167" fontId="18" fillId="0" borderId="13" xfId="7" applyNumberFormat="1" applyFont="1" applyFill="1" applyBorder="1" applyAlignment="1">
      <alignment horizontal="right"/>
    </xf>
    <xf numFmtId="167" fontId="0" fillId="0" borderId="25" xfId="7" applyNumberFormat="1" applyFont="1" applyBorder="1" applyAlignment="1">
      <alignment horizontal="right"/>
    </xf>
    <xf numFmtId="167" fontId="0" fillId="0" borderId="28" xfId="7" applyNumberFormat="1" applyFont="1" applyBorder="1" applyAlignment="1">
      <alignment horizontal="right"/>
    </xf>
    <xf numFmtId="165" fontId="0" fillId="0" borderId="15" xfId="7" applyNumberFormat="1" applyFont="1" applyBorder="1"/>
    <xf numFmtId="165" fontId="0" fillId="0" borderId="13" xfId="7" applyNumberFormat="1" applyFont="1" applyBorder="1"/>
    <xf numFmtId="0" fontId="0" fillId="0" borderId="0" xfId="0" applyAlignment="1">
      <alignment horizontal="center" vertical="center"/>
    </xf>
    <xf numFmtId="165" fontId="0" fillId="0" borderId="14" xfId="7" applyNumberFormat="1" applyFont="1" applyBorder="1"/>
    <xf numFmtId="167" fontId="0" fillId="0" borderId="26" xfId="7" applyNumberFormat="1" applyFont="1" applyBorder="1" applyAlignment="1">
      <alignment horizontal="right"/>
    </xf>
    <xf numFmtId="0" fontId="0" fillId="8" borderId="0" xfId="0" applyFill="1"/>
    <xf numFmtId="0" fontId="8" fillId="0" borderId="0" xfId="0" applyFont="1" applyAlignment="1">
      <alignment horizontal="center" vertical="center"/>
    </xf>
    <xf numFmtId="0" fontId="0" fillId="0" borderId="17" xfId="0" applyBorder="1" applyAlignment="1">
      <alignment horizontal="center"/>
    </xf>
    <xf numFmtId="0" fontId="7" fillId="0" borderId="25" xfId="0" applyFont="1" applyBorder="1" applyAlignment="1">
      <alignment horizontal="center"/>
    </xf>
    <xf numFmtId="0" fontId="0" fillId="0" borderId="4" xfId="0"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center"/>
    </xf>
    <xf numFmtId="0" fontId="5" fillId="0" borderId="1" xfId="0" applyFont="1" applyBorder="1" applyAlignment="1">
      <alignment horizontal="center"/>
    </xf>
    <xf numFmtId="0" fontId="0" fillId="0" borderId="25"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17" xfId="0" applyBorder="1" applyAlignment="1">
      <alignment horizontal="center"/>
    </xf>
    <xf numFmtId="0" fontId="0" fillId="0" borderId="26" xfId="0" applyBorder="1" applyAlignment="1">
      <alignment horizontal="center"/>
    </xf>
    <xf numFmtId="0" fontId="0" fillId="0" borderId="18" xfId="0" applyBorder="1" applyAlignment="1">
      <alignment horizontal="center"/>
    </xf>
    <xf numFmtId="0" fontId="7" fillId="0" borderId="25" xfId="0" applyFont="1" applyBorder="1" applyAlignment="1">
      <alignment horizontal="center"/>
    </xf>
    <xf numFmtId="0" fontId="7" fillId="0" borderId="16" xfId="0" applyFont="1" applyBorder="1" applyAlignment="1">
      <alignment horizontal="center"/>
    </xf>
    <xf numFmtId="0" fontId="16" fillId="0" borderId="0" xfId="0" applyFont="1" applyAlignment="1" applyProtection="1">
      <alignment horizontal="center"/>
      <protection locked="0"/>
    </xf>
    <xf numFmtId="0" fontId="15" fillId="0" borderId="0" xfId="0" applyFont="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center"/>
    </xf>
    <xf numFmtId="0" fontId="17" fillId="0" borderId="2" xfId="0" applyFont="1" applyBorder="1" applyAlignment="1" applyProtection="1">
      <alignment horizontal="center"/>
      <protection locked="0"/>
    </xf>
    <xf numFmtId="0" fontId="17" fillId="0" borderId="4" xfId="0" applyFont="1" applyBorder="1" applyAlignment="1" applyProtection="1">
      <alignment horizontal="center"/>
      <protection locked="0"/>
    </xf>
    <xf numFmtId="0" fontId="7" fillId="0" borderId="18" xfId="0" applyFont="1" applyBorder="1" applyAlignment="1">
      <alignment horizontal="center"/>
    </xf>
    <xf numFmtId="0" fontId="5" fillId="0" borderId="1" xfId="0" applyFont="1" applyBorder="1" applyAlignment="1">
      <alignment horizontal="center"/>
    </xf>
  </cellXfs>
  <cellStyles count="8">
    <cellStyle name="Comma" xfId="7" builtinId="3"/>
    <cellStyle name="Followed Hyperlink" xfId="6" builtinId="9" hidden="1"/>
    <cellStyle name="Followed Hyperlink" xfId="4" builtinId="9" hidden="1"/>
    <cellStyle name="Followed Hyperlink" xfId="2" builtinId="9" hidden="1"/>
    <cellStyle name="Hyperlink" xfId="5" builtinId="8" hidden="1"/>
    <cellStyle name="Hyperlink" xfId="3" builtinId="8" hidden="1"/>
    <cellStyle name="Hyperlink" xfId="1" builtinId="8" hidden="1"/>
    <cellStyle name="Normal" xfId="0" builtinId="0"/>
  </cellStyles>
  <dxfs count="3">
    <dxf>
      <fill>
        <patternFill>
          <bgColor rgb="FFFFFFCC"/>
        </patternFill>
      </fill>
    </dxf>
    <dxf>
      <numFmt numFmtId="171" formatCode="#,##0.0000##_);"/>
    </dxf>
    <dxf>
      <font>
        <color rgb="FFF33925"/>
      </font>
    </dxf>
  </dxfs>
  <tableStyles count="0" defaultTableStyle="TableStyleMedium2" defaultPivotStyle="PivotStyleLight16"/>
  <colors>
    <mruColors>
      <color rgb="FF33CC33"/>
      <color rgb="FF2CB22C"/>
      <color rgb="FF57D557"/>
      <color rgb="FF4DD34D"/>
      <color rgb="FFF33925"/>
      <color rgb="FFB7423F"/>
      <color rgb="FFFF1D1D"/>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_xlchart.v5.2</cx:f>
        <cx:nf>_xlchart.v5.1</cx:nf>
      </cx:strDim>
      <cx:numDim type="colorVal">
        <cx:f>_xlchart.v5.4</cx:f>
        <cx:nf>_xlchart.v5.3</cx:nf>
      </cx:numDim>
    </cx:data>
  </cx:chartData>
  <cx:chart>
    <cx:title pos="t" align="ctr" overlay="0">
      <cx:tx>
        <cx:rich>
          <a:bodyPr spcFirstLastPara="1" vertOverflow="ellipsis" horzOverflow="overflow" wrap="square" lIns="0" tIns="0" rIns="0" bIns="0" anchor="ctr" anchorCtr="1"/>
          <a:lstStyle/>
          <a:p>
            <a:pPr algn="ctr" rtl="0">
              <a:defRPr>
                <a:noFill/>
              </a:defRPr>
            </a:pPr>
            <a:r>
              <a:rPr lang="en-US" sz="1400" b="0" i="0" u="none" strike="noStrike" baseline="0">
                <a:noFill/>
                <a:latin typeface="Calibri" panose="020F0502020204030204"/>
              </a:rPr>
              <a:t>-</a:t>
            </a:r>
          </a:p>
          <a:p>
            <a:pPr algn="ctr" rtl="0">
              <a:defRPr>
                <a:noFill/>
              </a:defRPr>
            </a:pPr>
            <a:endParaRPr lang="en-US" sz="1400" b="0" i="0" u="none" strike="noStrike" baseline="0">
              <a:noFill/>
              <a:latin typeface="Calibri" panose="020F0502020204030204"/>
            </a:endParaRPr>
          </a:p>
        </cx:rich>
      </cx:tx>
    </cx:title>
    <cx:plotArea>
      <cx:plotAreaRegion>
        <cx:series layoutId="regionMap" uniqueId="{991C7FE6-3998-4B0C-B76D-20417EFAB54F}">
          <cx:tx>
            <cx:txData>
              <cx:f>_xlchart.v5.3</cx:f>
              <cx:v>Median</cx:v>
            </cx:txData>
          </cx:tx>
          <cx:dataId val="0"/>
          <cx:layoutPr>
            <cx:geography cultureLanguage="en-US" cultureRegion="US" attribution="Powered by Bing">
              <cx:geoCache provider="{E9337A44-BEBE-4D9F-B70C-5C5E7DAFC167}">
                <cx:binary>7H1pb9tK0u5fCfL50odsdpPNwTkDTJOS5d2xs38hFFvhvu/89e9DyXIsyslVFAH3jvAOBjiIpWqV
9LCrq55a+u+H9l8P4WKev2mjMC7+9dD+89Yty/Rff/1VPLiLaF6cRN5DnhTJ9/LkIYn+Sr5/9x4W
fz3m88aLnb+IrNC/Htx5Xi7at//+G6s5i+QyeZiXXhK/qxZ5d7coqrAsfvHaqy+9mT9GXmx5RZl7
D6Xyz9vrJC/dN+Y8T0Ivnr/dfJ388/bLPH5YdG/fLOLSK7v3Xbr45+3GGuTtm7/GH7Wl1psQmpfV
I4RVdmIojBPKDVlRNV0x3r4Jk9h5elni5IQYhk5VjRGVqjpbf/b1PIL4Sp83ZlLF5a/VWio1f3zM
F0WBr7X875b8xlfBr2H+7Bd4/sSH4ZOH398BFP+8/RB75eLxzX05LxfF2zdekSxVyzszGb7th/vl
z/PXJoL//nv0B/xgo7+8AHn86/7fXtrEcCeMHwMvXv/Oh8BYO1FUSg3ODE0xFCprI4zlEw0vabqh
8W2AB2Wef+5fPHc/A3hDfieANySOEOBP82BxSHjZic4VVVapzHRN2drCOj/RqKLpOmcapUxVYCNW
OK728KDO/gBvSO8A78b7jxDc9/k8Lrqwnsce7Pcv9stv22miqjo1VG5olFOVj/YwOdFVSgyuy5rM
qMbx+kuQX6q1P9ivrrID6K/KHSH49838sJabnVCiaQYxNKLRAfcR6uoJxZ91gu39ivFeqrM/2pvi
O8C8KXCM+FZ5/ms35zd3tXaiGhrjKmO6QuCCbZ/MOoFl12HUdaIxbWS67wd9/gDgDfFdAN4QOEaA
51FaJAd1vuiJYWgyYTJn8MHI2MHG6awquixzALzcxXDAXxru+5VGfwDyaIFdYB6JHCHQd8kD/FrH
nUfrn/swjjaVZVmBuUbMJOuyummudeNE1ynjBlM50+nyWXiJ9Q+l9of7lTV2QPwVqWME3XtwoyR+
PCTk2N5U5oRoCJ8VGPJR/DxArhE8EzDizNBhwtcfvnK+755U+gPAxyvsAvdY5r8A7F+ruPGlhyAb
1MFPne/f50iYagA/VWaKzhBsbW1rBcZdJRQhGCeyitdfbusxqfNzvV6PocfyG9919VV//eP8V9Ig
t15Zrn/HQ9hmdqIpiqoqBjyuwZkauVq6foLwSobdVpXXouRBnf036Yb0K/ht/Ak838b7jxHcRX5g
N2vwpJlCNATBOiLhcXwMN8vgGoJnBYYafvSIx7xd6vMH+G7Kb8D5Oo85+sRjxHheZFVSzuPgkNsY
OMuEyFRRicxlWR/xILp2QohKCKdscLQ4RcT80hbfPiv1B2Bvr7EL4NtSRwj6TVyESbP+zQ9ht+kJ
WK9hUxuMKsPeHR2+OigSOFh07XKPDt+VQvuDPZLfAeiRxBGCfL1o3szmcVIv8sMiTVSQXVxhMsy4
/soJbVAkMHQmLx3psQ1/odX+cL+2yA6YvyZ2jMDPC/eQiCP5iHgYu9ogXFdkY0RvwicDO6aBFlOI
PpCgI27kGur8AdQvpXfB+OX7jxDcK69EMjwMDwmwdgKLTVWZMpmqBpJPm8Yb2WUkn7mGdAUO7W1C
ZK3S/iBvrbAD0Fsyxwj2g5U0BwYbERbcLhU0JmMEPvhoNwNsWTZW3vk4zXz1pM4fAD1eYRegxzLH
CDSqVg6dk+IMoTK2tDbwXVuRln6CPDSyUmzgvQfaZG1QVozX1VKhPwB6U34XmDcljhLkR3A8B01b
oKgAZzMSE087dhRnYTNjs4PzhMcGz3uLyr6aLzX6E5g3F9gJ502RIwT6dhE/HtrpZkzRCFd+uFgv
678GF4wgXUEZUYayg/FuXim0P8wj+R1QHkkcIcj/CefRUOe3tpuHiKLhiCEhRVWmyboBh3scRRsn
VEaZI9O4JqtsGWW/pE3WKu0P9NYKO0C9JXOEYF968UMSHth0I3imKCfgjBlsKwvJlRMCy010toyy
t4oKnjTaH+rxAjsgPRY5QqCvkiQ/6JZmJyrVNNSGEBSQvMKEYkuD7AZjQsmQsxrTJUt99gd5U3wH
iDcFjhBgsYCnfWCEDTDYCgiQ1wkxDblnPACo+sMTsM11rxTaH+KR/A4YjySOEOSzfPF48LBZ54Sj
Qogr+pIFG3Ek8gnnOkrzUaPPXjmanzTaH+bxAjvgPBY5QqD/U7gH3csa0hQy00CNcK7qyEOOUFZO
qK4acNGWdUNb1npQZ3+IN6R3wHfj/UcI7imKtGsvDA+MsDokJVHcpWqvdFkgA83QY4NSfARTcMrG
ZfjPOu0P8/YSO2C9LXSMgM+L8tD8CNGIAqILrjT8bKpv7WdlMOYq0V+Nm0+XCv0B1Jvyu+C8KXGE
IM+6x4NuaBTfyxrRCed8Wdk34rNRaqAOQRYqt4cOuq2yr0Gd/QHekN4B3o33HyG41rz2Hg/OcXIE
RxrBuftq76N8gq4LVPxRZKTxnnH1/Vql/UHeWmEHoLdkjhDsGUKp70n+eFgGbORebdCcCKVUDeYa
+3hZVTSqIlkrtD/UWyvsAPWWzBFCfQNXzDmo2R6oTqrJMnIS656ZDaiNE9nQEEhh378WT60U2h/o
kfwOMI8kjhDk2TyPF4cu51WRmYL/BR9s6WJt+l/wtnFoD11z2NNovRlKS14S2k8a7Q/zeIEdcB6L
HCXQXZMkB7Xb8MJAXsqcg7LWEFyNA2eC/ip03ajEWNZ7DunoTaCXGv0J0JsL7AT0psgRAo2o8cC9
U6CzCdE52pcNNLNjx25uaK6ecKSwwJCwVUZ6tKFXCu0P80h+B5RHEkcI8jTJi648aMUfDuehlxnp
imc/6+XhzOFyI8ms4i14wzal/aTR/jCPF9gB57HIEQI9eXQWmHvz7aB+GDvh6KYhyCjr2mtdU/oJ
A846Zus89WRsGu5nnfYHe3uJHeDeFjpCwO/LJBgG5KxOysMUGKB5inDAjUY4TCFBp/p4Y2MuhaKu
qJStOpKVQvtDPZLfAeeRxBGCLML54+KglQX0RCOo6AOJrcoaXOtxFQkmzQxFJjrKwpDi2CJMVgrt
D/JIfgeQRxJHCLJVpeFh6zvR0Yz9y7FbOZIZW+Ujy6J8xTBQJvTqOKGVQvuDPJLfAeSRxDGCPD90
6Yghcx3tkGhbNrg8Tl7oqOQeutUVOGBomkRx4PqkWJXwWlDnDwB+Kb0LvC/ff4Tgzuah933ern/i
wxzGKlHRMIeJBMtyvrGdhutlEBVVfjoIz+3SoCeN9od4vMAOKI9FjhBoE9NzMFfx4cD9sMMEqKFJ
ylCGGVCjOm0kqeBgYwuDDx06qMZzwZ512h/s7SV2gHtb6AgBt6r84CQJmioMinmdBOlltuljD5wn
zmVCQW+v/K+1TXky20t19gd69XWe5XdAeSRxhBCfJ25cHLy0gMkMgwpQvLvqYd+CWUUgRTWMq9Ax
eGY8Umat0jNQvwjyXh84srXCDlBvyRwh2GYSVtG36qBxMz1RVTAkGFyhYzLJVock9jQ8cFlFN90q
mYU9/5LeXqu0P9hbK+wA9pbMMYLtzsuDW299GCWN6MpAALU9Cs44UfShYOjF6xtYrzT6A6hHC+yC
9EjkCIG+S74tDlxYAp4EETSaI1GZ/VSy+5IMw1AwDKx49s63OjCeNNof6PECOwA9FjlCoE03aeYH
5cPgXCNdRfizdR6d1Br4sIES1dGl8cr8gpVC+8M8kt8B5ZHEEYI8A7G9PiIPEUqDDUNV/s+7nQ3M
G6IYLIYgDFNcMYVm/eErn3tQZ3+AN6R3gHfj/UcI7v1DUobzQw9wxExORUPxl67ow+iw0R5GG9XQ
HksxOu61wdprlfYHeWuFHYDekjlCsM1wUS8OjTbDdRYYAagoz9dZvDyY0RrJ0AdLfjJP+1mj/cHe
XmIHtLeFjhDuT154YC8MIwxAgHL0Pj7RnKOdPbS2Y07Jz+q3VwrtD/VIfgecRxJHCLIZzrv1AXmI
05mdwI/G1RZowZDZqspvYz+jaAjtNshUaXyIrcc9N4M6+wO8Ib0DvBvvP0ZwMWdlkS/KQwKM6X8o
wEdDFcr0X6n+A709DAgDU/aj6WojZH5S6Q9AHq+wC9BjmSME+9O8iw/qaKP+D4PAVHDbmCjz6pxH
Y0g6Kyg8WO3l9WO2crSX+uwP86b4DhhvChwhwHfws5MwPWj1H07kgbJGfcHTTILRiWygxhPFvITi
ToyhoWp03cVapf1h3lphB6S3ZI4QbHMePh5+HJwhY246xhc8udubYA++NqZ80qEBa2nZR2CvVdof
7K0VdgB7S+YIwb47NA2GchGMgoMrjZIC3EE1cCAbXpiM3nZMVlcxtXmgvcc56KU++8O8Kb4DxpsC
RwjwaeWF3w/ePgfLjXFwDMw1pnW+cgcC8ldIP8NXQxc8ako2j+e1SvvDvLXCDkhvyRwh2HdV6S7y
Q8MNb0xDBT7H3USvTeaF8UZpIHzu12cL/dBpf7xfWWMHxF+ROkLMzfm3eZ4fNhE9dLsPiWgVhlwb
xs1sGXGGtOVPb5Fcq7Q/4Fsr7AD3lswRgv0fzCnBRVXxQYkT7QSECerCVrfODbPBNk5s5QQtd8Nt
RT8bB/ik0v5oP3+r5yV2gHtb6Ajxxh3Ghx1VghQWgmoiY87BahLcCGwZpLcxzNt/vSF6qc8zSr9d
TLQpvgPImwJHCLCoMPLx4M1W4MAM3DynolRomLs8wpicsMFzU1DSrcMPH6cp1yrtD/PWCjsgvSVz
hGB/PPwk16HVGTyKLqNobOucRsGYahjgwxW00g4tOiNHfKnP/jBviu+A8abAEQJs5vP6sF1W7ESR
4XgjokZ/Bq6JHHliaMAZpnoqKOZG5/vqOvcNznup0P4Qr77Qs/wOGI8kjhDky0WcePk6pD1M5goD
H7kGwkTR0Wi11YKDFg0d0z1RLkjlJ07lJcgrhZ5B+u1TeSS/A8gjiSMEebYcrn7wJDRCaJCguJgd
dZ1L7mvD0yYnuCgBk2pQKohdvazpf4nzs077Q729xA5obwsdIeAir+Ki8Q7bkENRE4i6Avhiq/te
x9abnyjDtQp4Kl7tvXrWaX/At5fYAfBtoWMEfDGvwJQdNEPNED2hVQNl25iqTrZuvRlOawbaG7E2
5lq84nk/qfQHcI9X2AXtscwxgl3lhy0FRfaSMvyP67r2+shPtNcNxftPfdOjrlkx6PMHMG+I74Lx
hsARAmyiGWeRH75CEMTYUBCK9vbBvR7Nmxqa7LiKDT/MLnmtpvtZqf2h/vHFntfYAe9XpI4R9Hk5
b77ND+uKo+AEc+RWeC8j5g0XDfdlENxSiCnty2678UUK5kqjZ6h+2xcfL7AL1qPPPEKgLxcHLi+i
L33slwCjHQdkCQKxZXJ6fMMR9Ngf2pfCO8D68u1HCOl/4gMHV8OoEgYW7MUlZC+BxTQxJDEMpKtB
fg9juEcz45b67A/upvgO8G4KHCHAV4uHIFzE36rcOayBxp3eOmaVIGwapgqNs1W4IQPMNrqh15cn
rD98VRr4Qqv9wX5tkR0gf03sCIH/T7hoUS942KvpcDswNi4QV5G1wMSDUSSNGoShyVJFaREmUmH2
BXIeL6mTZ532B317iR0g3xb6fwH4Xw/tv5xFcpk8zEvkE99Vi7y7WxRVWBbLpn+8ZsGJmMSlV3Y7
v/oT0V/OkVthcvb4z1sF+xcXoMAK//VyoQ3UPqGw4Qedvim1wBUG/7yVEFJjNKSM/f7jboVmsXoJ
2Y9hnDvm/a6GZOCZiBHwu/+8VZHyxqgUhiJj1LUMlQ5v3xQJimeWL+GAwNV4FHfsDCwcf7vW7zYJ
OyeJn3+zp3+/iavoNvHisvjnLcdC6eptg7rIpQ41ynggVdz3gqq34dRJH+Z3Xuzg3cr/6ahe6U2V
lLPIz1orMRyWXkkhkYIztY9yT9S2Fog048R0ouYzs5NGVCGt3hcaD877JHIvWaWzxyaNe+lKT7JM
L0USlJH3ro5c2p5l+F3eRYr6WQu5McsdUlq1Y8uZFRvZB6WOXVEa7WfmdZXlF646dYCKcPque1f3
eX3Va11zltIqEoZeLlpN603JN+4Tuf+gOlUmMBLftcKqPJOL/pQ22bvEuSiV4F6i6Syu/a96U06p
3l9XnX1TtlEueJ2YQZifqo636Jj+vmH8ltXytKb9TaOTmyxPTtPO/5BUdTQpWzpNc32Sc/U00NSP
JHRmeRyd6q1x10ql5UfuF5n5Z6WaX0lx8dHJikhUPDvtbOUmsHXRNdGkD0pT584ssotCLJ+2p+2w
AedDkna557hPO+L5n/9+n0T4/9+DzI8//r3xr9NFMhwuxfhNGzJ4ap4+d9hqG//Y2nfrB+7VTfmT
F39n26GJ8Vfbbn3V4tqEPm+8pdx646HZVUWl5xAcry9EWG88A7uLIOmIjMZ6KMmPjYeRNPDCQJ1g
7Bgs+o+NhxmhaKwEm6LKw43RGN68/qobSMFYvbLxyLCxXm48NAFRtIqgRhG+PCYtYPO/3Hi4JC9D
wVrYzQirIjbx8pbr37KqnuuF1k7rvvicu9KXuqoDoUdOKngUyhPXdzpRxpIhwqJhloPBaJosiiw3
zEii7ENUO63+2df8Qrd6v1YcQfvvVCqa7EKWfTWYdI3HoqvaNfzp7z+K/33PGcdNOD837z9Iiu0n
bZBcP2n8ZChJkRmRAeOqcevHk4Z2a+TF0KWpPN2ztH7S0N2JSmQ8Tk8jpPGArE08PUGXPq5rQRnE
6jLE33nQFGg2etKQg9cwogd34+JI4/BIN5402lXwR9J85uR2HVtx5OcJTCyRG9F1RPMeoiBrL4qw
66aBVqSToJEt1fVua0YjEXd6OokJuyxdOmVSHAm/8hyRK+pZrzgfpTasBSdKZxahZ4UN+9aSvhBO
5V6VEYx+EZ2nXR2avYqzxG5jSajMuyN65c4Mr3EEnvXU7LXiPpSiUHhZd+qUkmz2ZfCtUOXTvLen
dRj6Al9t1uRs5pa6elW0zDflOlGsviK+8PvofaUnldDy+nstlV8jjXSnql+/c5Xk0sNgSDORajMK
PKvocGbkus2sqKb+1Nbri1KTHnM50kw/b2NRaSQUcZ/gK4TsQovCj3rD70hYOiLwnAtH1u7KoleE
3LEb2tXf0zD6pgX1dzXRDOHbxJLz7jzSNfy0hpKKsGpuFJdMiay5pkxK2dR7emf4SSmU1P8aepIv
FObfs1A7J0r5oXbKmzJWrvIysEWVki+az6ZeX95IqW0LN9Cv+tCrzNyJLS+IzhyDi7gKLSnwPxaK
cpOEmWLRvg9NHrlXac0u4zAMJkrgfVAi42uX1N/DKM6FpvqdwKWrvj7tOn5jJ8aHOs5nbRJ+CCLv
0c2qL5zjsKyY8tgldNG3LhVKyRMh0/paj5IvthJNvXLAIz/rQz7BB7+TJOVdUSvnbYwnQJaTz75B
Z76iWJlnB5MoMK4Nbk8jmp/rcdEJ2iSqpSQqnp+uSPFZmW7yJDdmCWtUs25qTXg1vySS0YiyJ57g
mutZSc1rEVH+tSFuLMow6a8SJn+xm/gbb0sTuIiUsnPDzWzhR9lCS0LdF04RqOdeqfHUIrGqpcKh
EhdSpCdCCyTpNOwqeB2STx8zW9HMIpMdM9NSYoaa6wgjTj5mxM5EYGe9COr4Nords57wVjg8skVb
tB/ruP9UGHInWFpbmhLcSEy/SFL7nDI3SoUWG+4kDHvFijovOm9q5RFJt3yqdf3U5vxck72vNZ5t
/MDOJTJybXlmx60vKsUh04DoC24U4UUYG1g8IFyUNuy+FCo+3cOl+K+z4+iP/5Udv0ri0kkiBBVb
dnwpubbjBibhUPT/oOtjmAo9HMlPdhzkzPC3l6zqDzPOEM7j+nlDR7ZleXfH2oyjNgYBH8Y0PLea
/IYdR9f/th2nUI/DmzFQVjVcLvHSjtdhVFKni9tZldX9XaYq9KLu26nSNTBgYSBKtysv8ty/5pKr
mCEzmkKoTs2YSdwkMrNWUszKUOpJnQXXLokLQT3s1D7Sq4lnZFRIVVCeZklZWrFvFKKhtW5SJbrk
Snumsr6fKUXpCzWQ40s19syChIVoPemUSdEt141YNH39qW1g5CktPDN3PXLuGKnyUe+KzlLqfl40
9lcp4LLgtt6fdarfTmyDGiKxvUVs9xke/zgVud82gtYJdnAZp9NGTQpLz/iFwqTPLa1C02XswQ2V
xMQx9anxkmBSlUV56ZbeaegGZXpeoFFXM0nj8s+pV0tf+rq65F11ldVpee+pTea8KxzDqz7xRNWu
nSpJrniTwb9yq17IQfUll+Ja2F3WmmXv1aepyiJLKWg/kWEaJpVjp6e2Z1zWif9QNpJ8adhEnWS6
64kyyGqzUKNG8BK/etl1qakVum9xuwqsvLRzUWskmzqZk57lVHM+p3Jom15KtY9O2dyQtA+nuk+V
Gc+Y9q6C/brwAxZNuFxLV2nFKjOWcjppM6cXhiH1VmsU/RTHc3bGai/+FlR1LLIiCKzDeXgb4cbr
Ecn/t8EGtu+vjMf5/CF4wQQ/xxpLsSfLwXGvC5x4XIqLx+rp+oC15VDRnKLijqcXY8hfmA5EIT+u
l0DQ88N0yPg7fErE96h2xtjE3zAdyO2PTQdmM+q4yEKBs4kemYF9emk6GIsRLeNK15kj8b4913rG
Twntc4u1/JPE+gtNbT50hvzdDYgrlKL+bIetKioafColRxWSor5rU2KLQCKOCA3tFoVil5qMw9el
QXQqhdpHu85mYeKdUTXzBNiBqSFH7xs1uqR+fcXK9lJK/S++YfcTzj14bRlPZnkrmTbCMZPYcJmq
yv/Qt/FcaVht5W75mbD0LikKT4SIzotInkskbk0bLswZCwpqytTwhOTQc3gagalJ+XVveKEgqVMJ
pkvpuV84F5FaX2hdrYiypL5ZUNs51Vl5ybT8tPXZuzpXg6nc5fhaTL6mkTf1Iic0GZzE0xLchmjD
HE5aqL8PiziGW9fKVhMrfNIqgXHZs0azmN68S7T4A2ahIjBTvPBUq8NLDFv76GaZNs10W7XiJjhN
WWpYrm3cxyUNLN8ntw6cDMundWkmVXpRJR2COVbZV0qSS3DQOLzSOviW5X44TeSCCE0hsLKR48HB
4/LE9gmZRrZ0xsOgF2kYw+1Uqkvc0D0zgjKYOHoIM90Wvkj87psax/hBAkloYUxF7Stf3bS4572n
CdcP6awMtHlY9t8Qtk4d7gpHLW1Bg8ARUqr7ZtylifBk/coLjcwqUvsDCSXN8g12QQLfmcZO9eil
+ZmWwNtz+6YSocRKwQ371Mlj1XQ9m30pGR6QTO6nDnzz0yqhX2pVfu9mhSa6sLjzU+9Scagt+lxu
zSx37Anz00cH1I3JJdsxa02PRBoxZhW5fhqBqBK45vbe7WVu8sK+p2mMw8WtuRk5MPut81WJqjMt
lK/CyDnv8zYXAXdxGPl6ZXa6Nk8a9TNX7G9xYtxrjnTla1Vlkr5NBVXgKTedPsvl/r5sUmrVtXpP
Il+CI66BxmpJPk26UEcAYicmLw1dpH3vWFoWhyZJ01A4Th2YXlQsqN6ee1F6KvttICTPviQ+n/tB
S0xJzQJThn23vE691jrFFa2fnleJFIkkKhoLh317rbTO+zZRzgnxA1FE+iLpDF/Iadmafd9eeA1Y
MMfHuRrWslV37UOT9O1pK3XcyjLVmxQwUSIuHMfsM2UWwms2Cym4RajgTRzbqW5lryIirXUwDDER
NHQ1wdz4Qa15hFjHL6yqYJ8lP40Es3GC/f7J8vqhsXGu/Pe5pfIvT5bTfLH4MZbix8EySK1dUh3d
yBQVHgxz+56GDKypBRDLBF7n0MiqIV043CX242BBsI9TAMNIVpV7Lw8W9LGD711fbkJ/52CBCqOD
xYDvq5OB+SAoC0UF+ObB4rOs9GS/SGZVH8iiTY0PBskvg6I8VRuYVmOa+RmcUCoK5UMXZ6KUEZ/Z
84Q7JnYOrL086xvXF2GaTO3SM3u5+9x2+k3Vubdl5FtKal8ERjPpO90qk+Y9r0BgqMqlVHIzD6Sz
lH0nWXRpSPGkaNQ7OVDMhie3ISykXCYzFXa4Jq5JaGtSmz5yORE81UyafVNYfIYMxIyG5RcUzH3u
4t6Mm1NqR6A3iJSnZtsTEaQdbMA8taN3TR+debUqAlKbnXPTucG8dVLTy69jAseOfMydRduEE5/r
n5mvXIXMPUv0Ssg8OFWcKeMfQ65NPSeeMFszOz84c+1i4kaVWUfJRZ5F0yioPqV9cOkl/FxJb0Jm
v0vrfpq06rQp/DMl4FedxB/8UpoQKn0N1U4UdWZpEps5mZ+Iwr13en1qlI+GEuIiCt/yW5y+rmjC
ahL0uVln73IHPr2azRoSW0U7qaEgS9RJC4KflxJCWdc04ivCi/OGsNO4bydJYcOasSk3HlU1FD1/
CGTnrAz1cyPvZ05KRBkpInYb4Xr5RVolM8dtz4wyFWnwWTG+hgm+v0wm8BasMLlKM9VM5Us5AfMf
pvhAXbAc/+1wuoFLKmN/xgIDNhxHIfnqqQ+F65p6nU2ok0ychFsJo4+IlC9UvZyFbW9mkmQV3lXa
9RbN9WuvLcyoBXfv6hM9Sy6lCmE4M52ETIcfJwAJr9a+KPXCrHUukqSd6l106oKRiLyvSlZbQU1F
Gn/sJN2yjeg8bttp7qmmF5SipJ3V2v60s782ziJuexGqsojlb7njW2nUCVcpRSAnVlTEVqvbZoyr
Y11q2WkxqeN6EupRIDISXCZadQ6K+YOdKRcRTaaEuTOiJ3eanF91bWfJmgJ3yLiUuv7c5ek1DxyL
dIEm4tKedbJ+3ijVhdog3oid3hMJ06ZKWE8ou2VFHAoaqWe0AdelJNVtbmSZaKPoE/PymWoHueU0
AX7yVPWUSeH293nhvU+YY4Z4PaGO6fFPSUy+Vw09d3vnog0Sq6jys8iTv/p+/BX1pRa18/OY58Ej
t2sJR1pTq7lQc/9LEMW3fat27z2DzxQ3uMxSb4FJ1RM5becU9XGp3ioWi7tOkLwK3idyyD6EjFik
vczc6jx3QArS2EyizgybYJbU2NFt8bWm4Py8zrksZHiSsjvj8C5t3bumRL5y5OqW59mjk2qIBKWr
2MmtsGPvbD8Cl+Pea0b9IWLke1gm/TRn3kcEf/pHu+gZ3I4ST7yRn1c9PWtChu0dT6TYm6ZRNunU
/ktPnGtYIhE69YS43TsQ+mQSutEEOaD/PQaHJCpubflVgHU6L3/c7vV8Ci6F1qeghr4DdI+B/Fg2
iYEYWR+CuAoZvcHI46CYeXlP1/oIRAIVpxKORpxQGlGGHsN1bKVhrCI6TNGspGNcKu7W/Z0jEAT/
9hGIlD7m9oHOx52QDPeXvIytdDtgFe/iZMZaGNC+lr/4mmQicSNy6lt1c18Hslkjv1kViUmyxlSU
2koCWCtemL4bT+yMi65XhZZcd70yIeGnXLtJ8maSO5dxWk+zvDE7u5s2dj2zdc3ypHd5c+5lxUWa
3KlRKzTYswB5c/9TLpPrOJJmnjvVWSPCPp8YUma5BZ/KxTyVEBtRzywpXDzefJXS/AP3i2lXJ2A+
ilOjpRM578+dIBcthZ1su+9eFXzR02jqJ/apkcMyuWHwXuvLu0JTbrPKOEM0MlV6OmHEnbqgJEhc
wg7bVldIX9WmCgUSAzMl9L/bvubdJkbyTc3aq6TLigmvQ+ZN9bhWLCNsuCmVST5FOXMjcjeV9UlI
6Mcg5fRLF8fY2ZorZ6ZfqMkFk8Cwm5mXIyXGjTS88bzMjk28q1InlebJZqfhsKHqe9+1rShtrSp+
H/rZZZsnZqViE6fu90zORaa6Z0WUmqr0sXbzaUNqESb+Leo3TIxfvQj09pZUrDTdSpupVWKWxr1i
hBYPbBNP332saK7QOvXCSakwaHcDYmqqtwEXeUBwnvFiWtrJOy9h11HdTktJvW77cqp65R0CdUFq
MnFoP60b2bUkfLZOi0kL9sZJvPctqGa5yCOzAndVOuW3WkF0aEuVjWhY+14h32xWCv0CD/GTpGiB
qZRuLRgI9U+Bpps9UwOTewY4azkQLSGfet7OjJ5qAnz9t7wkwXluyxdpbb8PqXQfqc5HjkDACWhp
abXuIt+REGE0Ujfx5OaWBfG11AQ3flhcZpydy6V77kqSJHQ7vqZ1c9UVOnLgumG6Ke2vGKI4YUiI
lfMuPJMzT77yhrwRaxHstx5FWBNd/a/5XJlPWJSfJymn+TwOXtyq9sKCQm5tQTmGuGNsMMpFnmdP
rk0oX/aEoOELueKnyqQfRhQ2DX+XmT7w4cMspLURRTIcXBfSk9gLyzshfsuIDpTbRo4SZSi4qw8d
Cfg8MNtDvctLIyp5hOV1SooZDzW1NdNYkr3bMOrl3HTDtESWjxiZ4p3GQxFF3UmntVGaYFkmqYtA
QCofI9SwWIntigq1GEHhnamq/dlwS4vjnPYLacKoN8HaH6WQnWao6XBzdUrlNJr4RS3SSn5sUf2R
6+2NhmoQzPG8zTr2nqJKhPP0lKuxmSY+qFvUkYCEv0597YKUyY0bSi3spDstMvWh88hZ6nWdSYfS
lBQ1Kn0q3XdD0QoJ4Nd4ZVNPFcP1zEyvm2vbk+xbd6h3CYbKF22ogWF1/ZkMVTG+knxoloUyaqNm
p75XZR8cHc5Qj8qU70HJla8+yfh5ZbfJohtMWsLOwJtfJSS+TBo6QaChiEQqJiliy1mvSe9p6UaC
6r48HAKFCFGJdZapoPBaNbG8tvyO4pwrV05pflXrtfM/7J3Zctw217WviClOIMGTv+rn0N3qQWrN
wwlLnggOIAmSAAhe/bcoR7EdJ6nye/YOJ6lyZMlSq7n3xtrPWuBJ289oXUXfR9bG1hHhCXPw2XPh
FSKGtmKOIm/q7cj9IgW1MGxGT3722vGD3zVZofSOCJpfeMq/qii94r3wk1AWxUWv/TIN7ZLGqvX5
uZdjk/yvFnytBf+oKKSvqvz8044LjNcfhQCLLCAANqYf+LxWVOHbLIUPYVmFfDugB2u0+PeCwnp3
AORtG17vrylK3xcCDFIUKZdvzt/VE/orSvWKUfxQCKiPOrCmd7mI/yAexWLv+0LgjLnrVO7i7IzJ
L3ti34fc3HZ+9BEStolBS2z4Mt4j0us45XkJhXrSW9MVLHFEmy2OfRjr/nJpu73WzhdLRylqWNJE
9cd8khjiZ1/E1B8f3Np68Gn7GXrcF9UPGIdMQuQcW0rjzIRde9VxkALaSXU3rQeRU65y7JsrG8vk
haLjLQevHg46cE+NLD5GI6YJLRqorSaOqFVAS4ieJIYtMfTpbBU7wHyJ5cgdXXyx0WX+sZ39k6/c
q4qRjJZTkxZOaMVClicqaBro8XKVJKjlbaP1gF25KpsLdZ8DFoztxZyKTrax3RVB2ltMpV5LYj5g
ddcEKpVdvymNy5OAVh8XY2VV06q0ksNpCsuHqLKzoS5OTgjpd8J2ehrEnGEleh8s9QnPZFbX5qIi
fdapsU5UYU51sST4tekkMu3RMdamJe2j7IsHuIV3td2PiV2STLnBk1MGr0vYP7elSaaAXcupuRjz
imTOKEg2RNWVCtuNPU27yaPHYcUMhCk30h0uxICSALn9ZvD4YQn1rQFqmOgJB++mw1QYtH4d24xd
MjoMOPPi8I8p88ENx2M3eluQeI9OOW7G1nkUo3/DCIfMQGJtiWPp+BmWZQ8ttz/3uXryzJiRoMi6
EBSBcMmS2BZB9whNae48oJRZaZpqN4jyMh9kGUdAL6A/15lwLfGlxe3wscT975uO6+nDAogSkjU1
FklgxhKnxeCsSYa9sKazEFPsdXkCgeHo6Hyf++bBHvm21B5Ubh/DnPvIoPOGTrfREGEDzFIWbbeV
N8Y5mzMhbm0sE0twKbJxIEbbEL7UBbXUjfHnI3SkIfUDVWIpUb7gqLDjxRz3o+EJB1+DN9dtMM5x
JJ3jIP0sh6RvScxm7Ug/CqMuanBBDJIvXoeNIQ+BCW+iTiXQirezxlAJOb2e/Zh351J/7mov6aaz
ZwiUtWoVKfYkYGnbFsclaD80Go1KXFSed0XsT8YXaSk4cBs075Ls6SKO7ugAW3DpRSvITTE8BhDx
R6dOZ9MA9Jhi7F8BtzwUBNIOaa5EFaVIitmONntcdDjHfiBYzHwrq9ulwXaYbcqwQFsPL52i2mq7
eaVMry/tRRXN8VCaOYmaUSTuEJeVTsYI54swgqQHBKTTza70h3TIrWdXR/uxyR+J1ePVsA6Nh73S
lHm2OPeFf0WrAHxKnzhEP8w1lldm5l+4iyWBk5sT05qndc/V/5rYG1Ttr3mMfz/QJkgIxEUkf9HH
3q52/YpVU+83sJNr1sRbCsH7shUXlOGmKvjffv/YD5o47pRc0w3Q49bMZgzH77PsmjkFuzNumcXV
kyva+SstDPvUn1rYmycTLRF7W+KsbMr3LUxNwwwugbKL0kQGgBYn3VYbk0ZdfSA1PaIjvJoKfFJj
Of6+HVSF7d+wxZ4mih2aO1ljlTJ2F1MkhEADL4r53JfuNm+dXYACleQOAbsRNVNc+bW7aVyRDhG/
lMS6wfDm4l6d6UUPYEDagC9Jnjc09SPJNjZXPIm0gCjWiDvFXL1xKjQ8HeExnXuQTIXOo73jGxYP
4NhMO5KN501dIkayVz6WicIZbqOmiOK+slW8FPOYWmF77EeStIxekLyvUe3aVw0IOreWE8AHtEIo
yFh1FdJ19lW5oCRM/piMuTRJ3/QliKr+2oHKGLeNd0dszZMmLFPPLD24lMWkucXmmEnbzybTlztl
CjvuC3EuHee+8vwhhs6zbYtIJgDLLnnTeWjF9OhIBxsAr1aJa6YXMXdlzDQ2ZoYZkRJrZllf1p/C
Gtz6Ar4vstt6w2y1K1zIKjjzpswd7ZSVywL1uL/KZVSlUcFlhu4jY89urmuO19edFzvpffu64qgS
HWpBVTdNol1hH7BiRyu3dLBWwW1BG5PWpLtqp7pKBiGGhJPxXivIKh3eL7h769BTbSe+iVQscnaF
lzBKXNld+o1/MJEAVEJ5tKl9/AbGak5DqKmbsGg+iwBVss5ZUveNnda+GpPCRNjJd0cTLleBzcr7
sZGQfKrxiMfnbPcg6pRDsNLvO/xjs4XddmNfzbW6xcJ+4wa2u6FYMELQ6QhEduDxXq8STB80LQz2
msYtPbxL3c98HJpsjNxmJzvVZqWoboTmwXXJMF5AaCWJdItPnWOP+y6qaUbA6MT9YCXQ76pzTzrQ
PjMro/kh6G0mqv9tF7+W0QCz89+X0f+v/op3w0Wc384CDu4cgQMEu0IEHiOGDQTyeyF1f7PhMvWQ
+gPzydfbW78TBZAPg7wQ6kXrLVL4gu+FFCYoyAgg1CC7umtiyK8UUtddqZQfEHlYYLBXxMhkI+eT
vn38O2+K3UYdWZqA7qae7gqfZH4eZdCbk9keU5eTPWPtNc46cTSLlC/FdS0CnBE8KyG2/4Dz+8k3
1zyMYvCnSVWuy2+edtjMTG6U4lS9JPCRFCATFqiwfGjz4xBOWTmXBACunUbDcChhviimjWWijOhi
o32BqXdf0CCeI2wksaUJclPGeoDIBnnjCfUqDjDGa1q8sHWw8MZDZFSiGwcSLR5PqgHeuAniEDIU
TujBNf5ucC/lslcsOKqiPFTEicnivUY5qmMyhO5ucm78UnIQxhNxhpgN7ie+kFOVL7GIPgssqpQJ
j2IJMhOO20WTbPHKtIWXqp1z/DsYdCyczlv31Pr0PsLHcl9tlMdjY0U1jg0LpqqmPI9TdHTs+tqj
eRA7QHEgAuaXgrQAfLrbadSg5KBtYq+bTo2JvvhABccJRyK7FxBUeDrM6koNt4KbY51Pb0w4b8Dc
NmWFaqN9fd9aYGRU0H/ShXgpKoKBf1x2Lje7ss9f6tbaOl0XN1RlwRxldc6TGTpGDe2VB/PHqXa3
c04zqqNrVRmckuRF3dV74BC7VgwPFZPpWIDW7c3GLaKTqIpsqbzzTOxtUcuNNcpUYPPICb5fWqaL
MyW8KiCrPvbmS+7isOCdVIVJ3ATpAlyiERCHqyZzRbWdxAhVfT52VfjctkMywv4TizY6qVHsHbFs
qAwfrb5LqbEZxFs14rVF78ofJjNOQ6pHoL/JVDJI4vkD+sOFtHPot+05L/i+COsX4/FnAeGl7v19
3bArWt8wT6d8lpc2tboYCuonni9bUO/AfooVzQDWPHfAekjWNixCufUOyxKd0Hy2pApS5cqnxZ0g
i1EHpBV/cLAOdvBqWAQWJhnJtFVdgDZcYGwucGyp2+iywpHF5aGIXdPtZ9Ud6ro9B6rPRC3TeqQX
62p5KZekbNVRqiFzo6J9YtSwq9rmQOcHhYbteJV19z9ZZ5V14Ob7p1L+/PqpLv+4C/IPgffts94J
RMTW49Dp4oYh2A2/rsLeazkcx3BgIP8DxRR3HNiYfH+o5cDJA3iaVokXsut7LYfks97V/kfcV/gr
tRwa7k+1HCCjv7In2PV7qL8/DsXGpiqvLebtxmpXtDXJmiq/pZzvw5k/Uz+vY6kMFisgjPA+/Og6
zdmp9SOGdZyK8ydHUCfuQjftiZeqxspsQsUxcFErSAtUwGnlgPe3vRn51CQONkDCVAp8bPXUKhdm
g7HfrHu4GVwbNQEoAll+hICbkKV8JO14Mwt1trw8hrn7tiPskyLNA4/gPqmXa093+6iaLiKIpAnp
MH36bpHNY7dHY3ksTQ9vh0Hdh5TBnFKtwsIxh371BDJmHzATB/N0jVfgo7XoPQbiA7fdD82Ypw21
nyaF+ujOaY895taKvA0Omdch2gNF1UhdC+aXPBjO3LIuWCU2/lIdu5zva1YdGm7amAt4E8t8Yzfg
qCdM/xjwvyhPPwnM3lvwfHhxpmXYkh7oijJZFXoPpnduMG99qrWy4lY0bAOM4Tgs6IwY2bhut8wD
57lU+qzzAcNtkRYKck7n7AQG9QRdblc6IpHdYCcSv0Aw3BeqZqAI5DEYAInPg3uP1+M0L+2m7+en
IR9SEYy7XvJTaNUqXp1pVWrZ7gPPyWPhNCyOGrdJ68EyUNjUAyhD/C/aZbXCeGqPCTPcj0n0AhfI
Kijg+A9wU4XdiRT0zizogbmEgEMZKLo+s3DCaMfqoArI+9gP+yk8UinX3lXddkdPVxcyrM5G9VAs
3JNEX2gKs648oRvgppkpzgeM2LK/4iI62RW9DqifiXwEHDjXKG7CFbFW5aNjzV3CWv/jPEk70dgN
ADCqcTxAU70cxPAlmAanz0Y0XKCush4PusUbMFtKrxNxG/nY3farppSv6hKFzJT3cxkLCE+imqod
1qljFqyq1PImUDWVPf0LOsO/H1u3omZ/P/2+3Xj0kxJO1k96X4mFv60ZKy5wbUDWuP742/S7xtKi
+MEQvTr5f5x+kaAG0M2Dtvf10h/o5+8VE3YPH7uwCOD216/4KxWTrgXx++EXhB7keajhiHVCHQ7/
hGzX1TyN3cqwYR30HNb9k+JWh+37HDqJ1bT9VvWholcNBcgl+HJY3Ll4WPKgSEsd8FsydxGYs0Zv
6EIBCNWCFnjDqv7LkhPjpOsAz2/d3lig4/p+SHnFInk0pTWp42y8PqvaxmD5sxwYHGoJzoWvYSvD
zeCBdjPEuMmSmztngkeVRk8t1XjMSrPjzEgsr/ihqMylN0WPS8NePOG+aLe6dGATTyZ7RAkYD2Xd
YKgr6HmS/WaQ4Q6ngawYxwEn8TH8VAvvFRZJN82rCUjSiDqk21xuI60rsEus9ht8z7XmsTW2Ntnm
yzJupIAmDe7VNz24O+zy5ORBt66WdALNOkITgcU9/+Dgi2OAX9pkjoQdwwtsx7ActumgG7EBtoxp
SkkQWBHDlp4VBxV5atdgo5JVVsX+hcX1v+Hzhw7/T8/ftzi7bwMLwee8P370NxdnT5w88eQBnVmx
mW8baVzNgo8CzYFQ93bj+LeBBXMKVlM4EVL7z26rVfbD5gpbqnXOcX7l8Qv+LOKtC2nsxLENwxUy
a1b5j/MKVLmGApybdpFdsekeURWee6l8FzyJnO0wxujx4I0Uju1A9BsZdbQ8aihPMhPrOlOvi026
rjjFuuyk69qzXRegNTahPjaiwboaZdiRTqWb1bR8ra3hs1/NeUqgF2bDuli11xWredu2luvi1Xnb
wdI6KGDSNaHtnQNWS9A1ntMcy76cN/MYFHctHjAGEj8bTZFvez5HMR/HPGs73h6wPq6ug4E+hvn4
CNgb88YcKsD+oPsyVaO9hevmywVGF8MPeoadYVyxdSQkMFZDmsTRTjeqhwrZWtiDQw4QqQsGCs1S
2ttGR/3HRVbtneiZN8etRTR/WrgzfWqxtIJBoZsG2/sXJJ5/wyfoH4f+O4Nskab5ix6GT3t/iEBh
+HiX4j9/dKP3hwjMHEQaXBgL18naxfAG/u4hijCHU8f+mmSA1vOth63tDRwGvCVfsblf2OY6a+rN
n5oY5HR43KHjYASEzvTjU4Q1r6gLgTEGou4VdIgR79vibHe0xxk42LhdfoRxG4Eb9nM0y/vSlxfe
TO5nXiQWt9IB42xHh8uZRhtaloe2UDsPB9ZEtNxN8qm2YPppT9wPTj0FjDt70Wdqw+NRtuVTRBhL
g9B7NPnqyqEPhT1fwxZcQvXRJeju4BYecB3zkEZnZTl3gz9UGzW1IvV4cBGUlCewS8F/7iOfpIH3
xHKKrGb+c+kBeaWd/4HNrMLCdSLbkBGzn4w9wGiNRWg7iW5Lxo5nTjh7kMa9+mQ5i8MTzxuoHXei
o03s6YncBc6oEkc2lMaUmOKyZFhl9k6tcABABIkfaigrgxn34FDIZ0B09UkMBblUxmlunWEY7mcQ
0EsCliXcsEbBshOogqKpTZMXQ7zWOoHjxXqeRdUfIwW21pOjuVDuImkiwPwReMhX6akCzu253Jvi
wOZzwmBa2TFf0ks5j+6+9jy2E5Hlb3Kvs3CG63e57YR64wlSXDfR6Psb0US+3EWT7i5sly4SuzW7
fPQ86Sei0gcxASz2yZk3I7aArApj0YwTsHX2wp0WuTGR28Uouk0CMzoBUtdFy6UduHsL6TX/Qsn4
j/ScEDyDf9+Xf7jh4bvGjE96rylozCH8ir9favmND8FUDM+ji/sacG0HZtx1G/etouB+Hmqjcnje
Kj98B4oFvzm4+YHgUvoVx11j7X6long/VxTbw2BAMcpDFMa3+WNF8bk/40hkyd0i2IZ06uzD0GRb
2Mx4ZBuNeJubcDP1EAKa6CqwnkVoJWxgKUretbJyNNbVWniwCMCymSXKO5aApnw4mSlp0wBrHKlZ
/xnLJ7oHbgHB0gx7szJXhbLXjVog7p0Fm/HRUre4GeFxmuBcMF2EnolWmVR0SRkfLptRFZu+4lMa
NhYg3sm3hmU7hlh1mMmK0m4aizG1K+6WSVHeyPy6KbpzgVXIoGDr6J/z+pXTYStbQBzT0wD/lhtN
sVpQuYrws5TiNGkfTEBFYlvCv7AEaY7UF2qiIzI9oJiyZGE1jpxdOsNBCd0P3wniCaL+LmjvAj9I
5qDZNvAG1hSroVebXEvrpqAw0mAvV0NTXhY/xi89baBtjLa7y3N+RwQs0NoCB7dXEk9xGQ07WMQv
PTASsz1t3c6OJ6H3lYOqEp5LSXcg4mIlT8TmYQaQD9hJ20Oz16Ie4S2BgpDNyI26kzwHiQ/3OTZS
zWBvzSyilFv9vYV9/djpY8iHj5XK/bgAr6O4nS7ReEmDfo4Bp9x3Mi+gAtXnMCy3doiDv0v+G+Z0
HCD/qR6kcmCv/Kch4+2zvhWEYD3y/n4nwBo5+j5jRL9hjw53Gp7I98jKbxUB0WbIoX3PvcFz/G3G
oMGbWwzUmPO2if+VivBXQUr4aj6C9WC9QN4Tft7v1+3uYLpJBwyTdC82SuWoC409Ubhj/H7TT7RK
SW7f6Mmq7+eFv4YW/CE+vMEDNqDgLUUcYqtydvJ625W3NcpI0otFbgGqPknjpiOvx8TvVsdQmzSd
hZgFT2eY1DNspZOJ6dTyQUA1N2Ud3eLEsmN5E3M5W3FuzwIoKn+qAYlmGrO133V2ZkXXuqibJ7m4
fSwCB26yXm5CZDVRjORQLZNuaA/2Oqf3HnM2hg0P7Tq/dz38cux+MMt2Wif7KJdDtozypAO8/XUJ
jry/ayfyQTHIcxSDABmyEBKVY39aZooQnO6yNADZzGs1OjsnkDFt3L07Lgkwg42U9caaVQo5Dekv
giRqFsDRSMag9ndVcBE2UbroQz675rqS9bJ3sY+b46VrvIxJ6Z1wGs9f7BkO+cye3P40WEyCdUKS
Qjh5OK73k8h68Yk6Ndn0stR1TKaXQa50k4nitgSOUDKQP6bDP+pAf2NsCL6EkxLJJEmR4eQ/xdL9
0AUjQAnnBUEHKKGe99mlUm1Z4WkD/zP+n/dq+TENG8DvEJXfno/fs8/OXyWYrxF6f+Sp/emP/+/f
8Kzxj8jND7e4fTcV/MCN/vVUAGoUpw9sZ8GHvt+1+l4DkHBl44OgOYP1hiCCI8h7DUDClYMYE6QR
fF1K/Nph/c9DAUw80BJw+0wI2W6Vy34sATSSug3rZt65NeKEysH1+xeHBUFzC1UMqwXouftmWLC6
FBS2b7Y0WUDGVzlX3jbvnOdad4BIOn9LSjHAlljeBDULAaoV91Nn4Fqw/D0+9OCj425bb9ohPA7Y
oq0/Frkvs7xrWOKz8oNbhGO6MAuot84/k3bZUlWW99NkQ0teApEENVVJWKAfMwlh3LNLPHpkiduB
31ioFH4BS+sA1NEVNuqQMQOClKr2C5+G4djNiBK6sKYhX6a4N7lMnSavT0bm+3FctUFW9ynSGoDJ
WUbvrErcMb9gfL8sSNk6eL5xKVpxCTPV3X/FMwHJ6e8n5UekIMri9afWSFal6vfWiFRXH39G4itu
oET2x/eJQbh0FjUIN4Zj7QZC+sfzN9Spv7ZVYFrGRzy0W+/3q/F+oTe6GK5/PH9j3A5w+Kce0Dbg
Byv88X1vDCwa8qXLQU8U5eSllilckjgW/2SiYjsEcO7AxhNMYwVyqibwngm6YKo2TpZDfA7iQAv1
tJi+QQF2/aRyeYAsCVAPHveP4ZovVAoZ60LvNfZUTiPOXu9nC62uQu2d8xb1uDwy8kl1/GQGB8qu
3rKO3fMZYZ5kePBBCr8SNs44Kup8E3bWZzMN2OtV4K7NmHi9PmhoTUuogox3Zg0/qPbzNHdYaqk7
5ReblY2GJ21LQBY7DAx03hwRcpi5JU0RmLbt8VwhYo64xVZrV9K0ISOHHuGQ1BscLPXzbJ5zeEzl
3i+b/WSL3Rg5UNfd5zkUieXqdGzQZ2s/pSNi8vTyPIR2pgfQ0cIk5XQaEd/hueTGD4YkYoRh8MXX
UcHzGFpPYmiTwtUXLck3HgxVSFiSg3wyBblxGEJNoJlNFRwj4/Os/G1fl4hoiV4qL7gYPCAbMxEx
ryEyuMVmgV+wwIzTVvyxddz91A/wlZDtGzlg/BjNFzJE6mj8RkSLdDN55m5zFdnWdvZhmtMWsuvk
WUfq4BUEuzdwE2W+C+dhY+EwQ4biAvmyWWv8dKbPbRHeg18+IFQKpK6MYrEsMPVRWMK8y9xq92Gt
t52YQAFqkDT4UUuLvQKBTq2WSRzqgTEM9BR49ba07UM5AHPv7Hnv6ehKj/pDVY8XIOczKFX3MMTt
Kkxr0BOAafBkUH7auEVKS2sn+Uvv0djxm5uixVGr6QRGK1AWIWgLG9SFBH3Rg8KwLYAdoTUkLfiM
AJzGCF7DAbfhgt8okdBhwHN0C0nDnG+UOSHPJ+7MF2keGxAg3vriggjJsfko/SIuJgmTM7yRYCXa
2jn3IEkcECU9yJIBhImqpnQo+oeuoUi9qfcEJMrQzDCPh9dNGGYjSJUGxArsxBCDHbxveQLzW9YH
ElbJNq5AujAQLw7IFw0CxiqBwky0AOnnyZivlMwimvneeUNnGkA0AwIWK0A1AV2OEowNUJsCyM0C
9Aa0Eh5LPeKdCipHtV2X/XqB/09US3DNwj/1gN8vu/ipB7x92nsPsJH8jaOO/ZOfxvmNwEVDsMXw
1psRv+8A0G3dNfgZkUz0TUv5NhmtVzSFK0H3x4d+oQP8tEWEnWbFmnH9eYhNC65h/FMD4MpUtI7c
nVt5Q2r8kW3UqCIcDRoAo5TBEUDKw1IhxUEwzCY9Cy55HsCagHzmjanCY9XRcO90pZ2WVbFkk5rb
I2JN+9gMgC8cUuYHUNVQEufgYRrEXuS62PZ+I9LQrbD47mhwJQfVnSQgrlguLU0DrwW6NZLhUy+Q
VtS5MsYa7mM3Q2gQQoc3QdB9mQPWJpKBrehxpMPCr1rAIi9TFrTdYXInkXhlY8dydGFlQ+uL287p
L5CR4CKTbvaTnAh94KMMb2wNAwQDllarZtksi4H0Y41FxiKYWqqcpr2eUGAaPJUtUkURQzHhJ24R
eTT1Ndw1c42Xw4PZxnKrT16wvObz/KHJsfjBFkiD40VEgxcK0Ctz09tnnwUzGBYCr4SZre5hQSAc
Xl67dJGf1ERWYjFAaZ4/RRg+MJ/8h59MfGiFfz+F3erXvyKf1k96f/6839YV4ZpuS6HUQw7+Q5+A
SQAeNw8RAOvVstAtvh1MAqwdsZNAYo2HswOeiveDCc4s+CprwCLSofGfXzqYYB/90wCGq5cocKgQ
U53rrezVDwOYX84MnlV2EXpYPLSI6jO3RYSMU7ilCwTJJkspi4Tlw5U1U5kyZ3kSsq5iXq2wqDU+
V4OAf6xp5pg70L3MUiNRvBlOkQWkBUlSFSR+5/OSY7VC6MAAWfbqUBf2q99GVeL345D28PslSiHU
rFiWz3kdQMOA7yZyEYOr1zwtWlQsYWvG1hQMn4Y1daulSMxxi3KANZbfOX5/i7wBWMe1uVMI7WJr
elfHQnRfBHpF9Rg862LEqh1hX7nltDieID6OvCWBIRJMI2kV6JXVgRwiCGSrw3RAfpiBgz+tkCgW
emMHjcCqEvxNYArOnMcahySCJLKeuR/GNZnMGv0dncDYF/14i5/u+o1dcMYKYVutf1GMBIhpM+K1
cCKMpBy0Dzql7ubrHvwbUh1pFRPR3445QoCw5wf8Ck9d0pfDvhIBjx3okunohLe5K66w8tAZjxC0
zTmI/j60PwaOfpna5aZm0COwVAWYXy9e4lJ2Iw1OZMVSPbSiWpCCOX8YGEWey8IQJbK4SajzdXuL
VGF/cf1DJEEIt/5a1aTdJW1Rf0Tkggvoijt7ICZAXXWT9JYNLRUIZlJ5wkrJol9sQjAo0/5mlOqB
YysS54rMGVrJvA0i7I69XiRI7uNgGOh5gEcxyrsHvPAYDhfa7yoSyA0LzT3MnDW+fZgePQs/SDgQ
/QnU5450PYarsJk3fjMHF0WAt5UbqT5RvXNWKKsxLOQn5gqyyXNkhHGHq9j2qnqH7J87ywX1BSR1
yYgFQ5vrP0LZ9bKgLMO9HcwN8qHdA0UUX8IdhdJtmymZWYe4pdzv4a8uLxdKRhwfxBPYp6uwapo4
nDHZlha+BVgvWWJFy6ta0wkmLAiSHjl+RQG3iYcmMNTkQCrMt4yB85vzp7KnRTq3OYkRUAU8eyke
lT+RVCFMZ0f8UceV3R+6DvlopGLNJSkRUOApLvZRiB7hOzLPKkACSFIvwb4ig+ForP40r9G7y+Tg
KgCB+AcYzfCQcDNnElcdrF0UOmLbZBTfy0baAxIlaqLghNP+ZcS7Y1BP97oyCx4xUOu+KvzEAdyX
gEWCyVMqdulY2JdBgAM8bMMMYhaJTCGGgdDDezyOjDw6nXUNUo19npH5sB04LW8KHP6zqBABUjwi
5wNA4sptryvTvSIsGe6eGnEgwOM3fMQbX46gA7jPTgarxMSyBUlpBIx9GRs4AZf54yAZjjZ2Beum
xjOgRAjInphLOOvO0QRj6xg8hoWuYurgBghEEO05be4npRFSYiP9cUQGmN+Rk9WV5W7ErRGn2WpO
Ndx7Fy1WmFurnj5qPSPJdfREsvSmhXrhJ4h02uoKNsxJDc1G9XDBUDXcuaCF/ita5T8ib7cSa+Cf
RlUMk99aJSBh4ALQ7EHg/t73vkHC68U0WNJDMPi9i753S0Tp4BNgGbdxxc1bXs4f3RJROkg3/Srj
4y/9kvc7WsWI74k36kOnAMGDtQCWj4hO/rFXTp1SarYk2dluK2O/r5FRXsBbBWDNu8tZh6kKQkEy
CRv9pUc6sD9VNNak7JE96VcQ1mEtM2vRIDBjXnLXvuAeJkEvWuPFETkfW54Ft1tPakTg2Ltm0jSr
Vt4UMjjU6VG2u4CyAU3K8LiwjU44vBLbBVexAVTrnwvHMqkYaJQQ094hBPjCzdsoaf3wCkfCTQRH
6A78mX1bWUJci7GstxIgLldgcJcVz4Vp7aVeoV3ZVG3KnfCmkYF9SQII6t7Q7r0eQTEduOUOzpZE
BwaZNvb/kXdmvXEj25b+Kwf3nQXOQwO3H5I5ax5t64WQZYlkcB6CDPLX90dVqTweo9Xol3MLBRRQ
JacsZQYjduy91reGh8hxho0V+7K5VHgD1aWXjNintEFW5UNb5Ab+rNgM8OUO7nNsyuGYdy0C2Rhe
Fb/pfJZbqjw6xuBtldFioY6zC3Q77r6q+mBtyhm+DwwHEzO4VwWPwWv3REKanD2nOdWCtgmTYr7K
rOq8LQoHSRMCXpqJd7jxHrpWZ3LRJDlcS37/utNe/Mr8mJf6sfH827iiK7T9Rzy91H6/KXR7PK/d
Lx5fXvVW6ep/0GiHQg59RCfHd8GxfH18l6E4/UYADa/l7tdidyFhUf7+ped5hWS9Fbs8vgSgMDnz
MHOZOkTxd9w1jZ+68FjJ0NOyR5A5iz7vh9H8PGdDEGBU3aeyt4HtmRbA7dxq8nPOA0875rbQzVOq
YUM/16rSkRfsRUKdja3gZINZ16QXdZ3O0+6fsFyc396LPqT5L5fL8qqvywXlFY3mv7lpX5cLrQmb
f9CHvYLul5X0dbfnjPjbWP22UnD2IdPkc/UIq7KWUc47VgpHx89bPUYVYPs+gxtCpxg0fXstiiAL
S9Nv3X0qJhxP3nllWqdx45x44KG7zmnWlY49Irfx5eXRJtatD0OU7GItPxn9Md2ICSJfJvV4rfnt
pdVpF26UPVc6eEmGMaus7G7g/ByqcYrCye61sMzn0zol8yHSaO65YwvIMhrvcDFvVFsaa3Ny8DsU
zc1odOlNZCdxmJXxCZ2QfDNryYkxB89Z6TzKxnmyHCCkpj8c6jiirpxtPdtbIxXtxqE1rra5pwn3
ch7b1D60bIHKmI4BW2LD1hgL9shg2S2RQfI3soGSI3HXLjsqLUJn8feeB5m6iiN2XYTmzakgROqL
a0u2VaH2YuRtSJIbLiASYsl4Lu0g2xpdIs+7zm42g2q1R5DD57k+1etApP0zJ8TnLq/PxjzLqZL7
g8IqB+XTyFZC1df04yXwChoiZWvQoRBlua4VJJHAUx3TbrgGZWMcUgpXrnV1uSHB5aOBfOtiqkVy
qbmCxrlQ24AXbU3gDKf92Fq7Bmkcqu4XmmMf8jZJdjKhzh6YDHChCEcH/IWFkfHolCbNI51xFx2Y
uwgexUqLRjts06Dexl7wyYuMk7ScQl0Vd3VcX1SZytZ9M0M7M/VsXcfOMhm7c5P881jkkJP9Xcqn
YCJXK0xjhGinvvSq/kwHLA1BZs7rzhp2GJGbY+toMzErQOrQABz9hkFBkSaAUGFeFyS1bCpX7EcJ
M80dCn83eQBZ8h4QSy4K/7bIsdkLrQNenp9LJhy6nb6kC8uyGuTRXCYj3CnvS8Ylgca5vRNR2oHx
rMzkpe4TROwDRjtXB9ySN82nKWuuOkddIHpEGjjoGFwa73RmoLKuMcEnMdRt+gwfm8E+16W347gd
6FpNt6LrJRXz+Nk38yLUIxWvlOf4a90b9gnWoai3iS5p6hGz08CcM8VBEKXlfS+agQwRbVfQCt8G
Vnxtz8O+GO1bVcW0Gkrejqhp1a3ty/GT5aOUf//G/D+xq0yn53dH/eXzt+GTX8fty6v+2rtJDeQ4
h2kJWnnJ7f7mqEeGt5yxzPpMul4Lw+nr3m1j6Mbphwb+Twfg2+5tQ7wkUpbK34cCRzPsXbu38eNU
cSkwaLctQmFa1bSYv9+9KS4rzW6LbK8blf3S0/+iGdsHt7h1B/MYmRkev0Tp7UkbIUH1QRowqYak
T++qYNv16i2GP6yzvXmWle2JkdXjTSYbxO55HEn7RpQ0jp3Obr1nJx61EOnOuTH4R+b8J35hnDEE
CyMvMyFhYn9N0k9Gzuhy7p97qwZvM0BgUNqON/HabcnDaK21bph75XhQ8e19G403HCgXbu9fjKW6
tm1Edw2GvkTJa20qP86Gh1c32EwoGNYqbWK6CfKTWYvbdpS7SJRnGAD2dQbXpnGt6UiUIlfe1H9u
Y3XlESQISCGyVnyu9JJnWs5lCY/NWABDoZZltbkpalE6Z0q2/qGqIPGWdoraIIvOXIwzidbe9H7t
rWTQnM9dd5TM+oIsOFhGdwha7dyOnM+WAwGiSNAOUS7RZQYj0k+w4XzsCRrXGIR1YVv0H0U8brso
f7AEPT1z/gjqnjeGgIZurDwMcvBHuC44FSCNVCIlSG/JmDlrxpxmRQQn/lAafLgz/fqMTlJQexs9
g9o8Z16w1jX30R3RA84IAfVlkyllE23dgaadFYElFcLY6FZZbXM5MSqI5+fc4I2JvKZbk8qgh5YC
nWnUNsAL7bzP9WtyVRxCDpqYdASvxPjoH+nPnAxoQjejuQSeRO15MqLaTl0IwlQ/a21xxOuJDVgJ
h7Tr9vtSjfq2qQO4ViOIKIisN8ZgPulKXmHquKgS65OYojsRDD3M4sQ+y239ztLadOMFcC3yyd9H
g/5icnQKEdx7vf+x07yZnh/W0r50xAZB/gXmSH6cQTwS8FKuPYsOraoZ9tE5pH8xJdBMYCQnbXVs
R/fKW8hkaXGo/flzUquj7kQBsQmkPJgeMtSCA2rD5dheTfxA3G7TaGcZY7GXedpvIiCtV4nfPzZx
sMtjAYRfaBc2yKbQ64NiraOqpMMTnJH8caSr24fCiJo9yQyuDxadIC0esxujd5+hflwRv8nCzcCt
4AMjDMJr6v+Hff0/TyJl/3bTviZ89bl9qdovv7ijfd24UYQszjkD0x6VMsAh9sa3O5r5B4MwxEmI
ImmaLKOFv4tuh+QpA2e0DZCPgff3Awk2bZRVZMFyGiyq63dU3ohMfqq8UZe4SLKcpaDXf/Q1BaMW
VXXi2HtLKfbqxKkvYNU6MApsq9IuSj2o8T/4irIrMhdlx7UtvGLZVLZRUKUhAS48IREzcWvtdP5Z
DRUySPstgN4vs4OIkvi6w+hBfwe0dUYaSxc6dXQxpJbaNqNzb9FFNagEjUmgv2pOEtPdRfa8gOWy
ZIUa+FNgFUcKd7o1nl+ucL1fAsiAiya7doH8PVga6G5juK9Gfz9o+WESDt0i2X2ISygRSZYdVWK+
NNV8UQox+MgRIsMKs0az4HXMdqg5+cZW/RiOVh5DiWi8taGRmNIPdIh0R33wrLZ7QC0mIPbUVXcp
RKHYkGwFlqOJb1XsKzi74HNUT94AIkVDX/tNVx5TLQtbsrYeZqORe4ssXSB1Qq0GB+GKr9EuVR23
D2EmwNGYztDD/iTYh1dM7RnFCO8Zo3Iaphod5T6IAeOjYKsB9SknuOtasWBFzBM8Hzthlzuvdg6m
ZZUrNQTnWpY+ehVYtkY9spFetFZyw8eK3KtTEDsbf9oC42w3oDfP/BSSYWIxBZmH6nYxoazYd93t
rIqjzNhae/u8bFFPenV8mVVOfsA9unNk/8h+cT5Zw1McE4FoVmwhVevubJu+udSHY6YNwKOKJ8rQ
K9cQWxYXhKAJJJSIs61ftuokqeHuE403rANNK0P6/XdRB+m4rlFjFU6MUMmJNnlV3kYZnHWzYciQ
J2zGFeFDrVuPB9ygpF3l9XF0mJzVvfD4aGgxk9YlhDp/f4X6H7iTsbP8+07TdTU+/gImsdzBv3YO
fky7e9vDYIQyyaR3QC352vD9ZgvzIYdizFgQa8vXvp2pLuoINh3u+sDZ3tlmWtDtP/SJqXr5Lpxm
pI/wLb8vP4esHpyxkfqeuiqmD2Bm6Y2obX+lF1O0nnWeLCNiBt9W3hS2EXVOXxYfPDy/J57WE+/Z
mjxyXg6/qxwelKHyXZuXPM+N0enHOaf5m+NUZp5TaFvZc5ekc66HXTkPm96un7Sxot5dru9oIXqS
T7oTrZVXptLtXZy7t62eWrAsZbVlZy8oUILHsVVBOA0+SRC6+Xk2B3KrpomsSonHqgSTvkoLCWKI
3m1IY1yse5v4JqqOp9SQi3nFTHcdOCEJXDePJelHogBAs/ANzZaut4J8aEJARAFyLltxlr/iEYss
Dkf8bFBhWns7dQ4hGZ6z/Agjs6vmQu/Sy1S5Ny6S7VXrJ6eV3t42k36n/PgU8+d+7Ic7DyLk5E+3
ed3yIg6OvsKz1Sq7XM0JV3dbJj4xmA0wnQVFOcOk9NPp2mrEFcrWvTYjvZ38E30C/N258CYio7sw
5XhvAsM07ObFHqw4tIsyR2xXtSq7NXNH+BsLSxlU9EUcYlSNsTEGp9jZwTB7tJv1Cin5P+FRX4Yk
v3nUH8svwCqSn0uW5XVvd83XNGxWlQHtZRFFcN37+rhzX1xuk1x1lpAhvvTWJ6QjSF8PyJepv3k/
3q6bSJjAr3j8cUY6S6XzvpLlx8edb8ZP4SLL4GdkBPX94z5ZOawWKFt7WxAasHOtsYuvaq8SabFC
OGEPGylLLXogiQZRUBd0EZzStDQ6eh7ZhM1yqHR6ZcifkWJWU5SUS/VtM5ogtfgfsIawB/9uDUGL
/NV58fqqtxXk/sHyoEI1Ebn8OUd4W0GeS0uCAFSsv29Z1n+vIF5F+iFaN6TOCwKAScfXFYSjhwgQ
z2aWwEX5XfAhwpR/WEL49/knMGAjgSek9P1+CRlTZbad3Rf7tBDFpvTk4tPzqn0g0EwWE1RYfxzx
6g9qnk7qwsVJXMbQnl3HOZo6/Ee99P112vnYbAlNZtzlGpR/JvxhPW/RCKs7VWWfSLv4FM9I4/Dt
p8vNfGO3zUaZ5Ab1z3oSnQjP2HkxtE7VwofHkWdX7m2FVa7LplOXKRxeGlKXZ+yCVVRxr5frKPVC
c/DWSMk+xUO3F0VwEhQIUGoqNW6XS8NPIPMIUK2iwEjVQ615n2RRfk4nLox6dOuPbrmqBvImRpi/
HTibQZs55jI3lFY0io05EHpYeW5z6zf1ZanLy6nI963XPA1t0hH4ltzPyAQQHdAaLR3kGIa1havz
earrWwp1uaqRAa6ydr4FRPLIFeNDQRhgKMEGNeZHKXsQlQ89rIG16ySEvRb5VUBayBRB3DdJBvHd
eO9JWvKp5z/EHS4jMR89vTjAKAjtVNvwJw89eSOpaq8ZjNxGSxCJFvg7n/csGZynOceR3ZIMm7nq
mAzWJibOZJLlJiDexEvqu7iTD0V2OlopPA+iaYsbLI/BFGwj4lEc1SDXQA6SbAUGLryODI/vxUQz
R6zwTqya6noyG7TfR6FdkT2yJlJ979rkQhHN4qHzaEhqIbAF/cVqJsJlis4mbk8qaw8kunoaHzZ5
LwT14qNSYYqvKhPNZkY23WY3HSkxI2kxQ0RcVDx9gnFKwuBY4cSaRsJCcjKOvFI/003aFXpWfOL8
htknZ+RaJjS3blLPZELfGMgPV0nZfmwTWh9FpxOYnuNKFdbjlMQY7pPgumpSE/1+7G1SK7fXaesM
uzl2eu4zIz2huLLusZC/dLZ3cJx4Ptix3pJOyHx67sZy4zndZ79G+UyK+BdfwLgNqxxg7BTYV2pA
W19jHVjnDcHehUq09T9gdwWs9rvd9fKxyNOn6hcH9DeUB8a0RLYuygsfENAypv1me2WTRLCBx4MW
UvAts9+B9E857ltL2h8ShW8KcoDHENj+rMXfJ9r4CXZMLxgBpefS9aAlDePh+63Vm8ifaFQKKh1X
9nKRNSmIWxeYbWVCHqj0zF7u3KDZ3EM1Dd2tcsW0MwlU27aTG3dAE4Pqi9lAHDpqhhbQTJjzG5LE
fHulm4huiy71xvXQ5fqj1URW2EqQ9EiPJlhBETvs2BO8PMYBjxe5O7qceWGcIktLhqyyvvijQWpz
Wy8t2lLcaol5J3unIkC9ImiaGwLtSAJiJRA32O4R/29xV3mw8wGj9fnOKN3mmM+C3FBNOQQDWjSu
Z/2s78kIigkGWKWZ/XHQ/JOiiQhJjclPc4W06Egg7dMGuztOtfWC/G4LxyNd6cq6cyAok22vNl4/
feogKiTxeBVXkb3GNnnZSNwtUzFTX+skyCWqIiPR6tMbPxLNPZGqLdMeMurUKs/bICLYT4l9odn5
3fsft/+Z0xnW6L+vmS/Tvv/F48hr3qodDzYurTO8y5QnNPSoJv6qlxnbAFPEhczQ/S0H+mu9jMQC
tSC5zq8dvm8eR55Uk1kKL3klJPAQv6PFZy7Nwu/ux4u3DHQYons0H+5P6KLW9fBHkWO5Z9Yb76eh
EC4pWf1Cu58KMhGDx5aARISLLqNLiSFSUuzRrrONMHCNaCWzWO650T87g/EkEf2vEhd2tiihsngd
ruGccIU8bXatOflbkWmbgRNn33vqXLPgPxtEUfaq9FZBXdmbotPOA8e7zipSCHvfJliXdthNVw8w
T0uYW0JU46qzwSBG8F2KTSoDa0eJM13befARLuOVQg85u0HoR/olnjtBrtWAcn9wL4zaOqpKvThu
cRy4QIq5+VzgyNQcCH62ApE7IwerY5ewjoGSrNDvXC85DrMwVgOiy34SaysdaHbmaKXdF7fRt6Mu
4Ba4+7KNVlUzf0SHe57NXmgkF8KgKz+f6Gl+owJ95WrWI/ldV2oe7rKip2j0PjQ2iZEWqs8m8fqV
rsnDMFd71sxZYMAeH8j+ddLhOrfHtTD9cxXVp4Tx7IbIY9/grTIgSRx8g7SOGBbwana6W68V1xBe
iGlTWIRAL9Loei5Udh0NDNJ1eZ7E5n4gJRVmIU4j4i2O0gHdUnNFdwEzJll5mMroKc3gVmktGlKn
IYsyjqy9NYMmz9LhGHfcs7GUlmvHyPe5S9ynFg+hVgbraJQ0VDzkDrZ/XRBqeUjkQjk2OmOHcsxc
cWeTK1l0l5XIzpLYSHHBwWx2MZC0VXSsVGtJ+iEJt7NEaueiIOUids1+o9Hy3Q9zTGgJrZtTqwzS
jU+f9gDBeM42xaj6e/5SitE+j7TotDYk1jYRfEpJoXSdQgtlAKOYtnnFrFymTKS08UBu83g3a7F8
aJbgSwfUzqnTgsaQZTWx4Cd7a0yDJMMxIt1F5DjfoyFDRUu6Zly7Z31Z7qUTnPVuunVM1AJDclBa
8IT38arHfLxCP3PQx/x+cqrzeUAvkKguVA4nhiIGkJZOXePXi255z0I27xewGycOWEqOjbU+kHEa
j+rFIO976tjpq0DHQudSMplte+zt4BQm3p2Vo9J3S9g7UXwsDIFREPV4Zmu3Y0wZroiBhVN9lkln
8SujVsbCPIUjgvPKyx/z+gm78iqeXFJtUt6+Jttjn7hM8BJ0vnHMdWfjBrRTFlgfcrOzyJwZnLoK
hqpf8CA6+YPoJkBDKfTPWcLy0KdnU08+0lHfl1VZY2Lx81DZhkEw5mRRlwYwfvIBPpNpztv3n0T/
cV1YOh+/O2bC9nF4/rkN+/qqt4PG/WPh8qL2c/7WY309aGwPEzH357+Ok28bM3Rh6eM4HmfAn36Y
t2s1rnvdREzgBK9tGRR87zhoUA3/dNAsSkTcI8Q/W4h3fyBv5FWFAgj1/94Hmf2lHZx+AI87mk9J
SQOPEENgMrXFQeBh6MRomqoTkKkobtoMu3w3Tlw9DbUWWtKEtsZuh7rwfragt84JCW6u1+2ZYXTn
bbQcH1Nb7MqhAMkhONyO5VLx5K+1z2sZ1M+deK5Hf5nIIN2lOWs76U3ejvp+4JkJM7RIMXTkNVJh
Z51ScemTs01g4WieJNqFuqy3rBdHttu+5RbeVqI8Kj1F7IscZtWkAw9Zxa0swqKQl92dnc9k+Vbo
17M4uEB/mRDoQYlYL5FGAhHYwa4MsePzA1fTQNXKRkbaA7Ed66IV4qxZis86R5tszn5FzWreuX1+
W5YDrQWscIqApMrjyofxRYdabM1VHfrmcO91Rr1nirvplvOXwOVQ6eKzv5zMGuHVbHFUv670oQUZ
zjOC8GeTdvK+9nHVWCUQI6Z+5spaTv5sqQGsWscDRFkglvogeK0UOpG6GyIuyK1anud2ebK1iFhP
K1E3Yk4xSbstOTi6d+OxQylR4tbx66Pd+9xkOwf9lStjFE5QPMAFLvsj8LPU45TTvfYu9XuQoggA
aWRj6QvciHfd6cW26l2SItMKOh4IMg0As1tnGY7BZqAZnAutILR7DBMbvfSLMpFgjAlM3gAI2VqZ
I7I6G6syXKhdW5PJxJFJRpZIrlNpFGt6mQQht/CEcqvSD63vPkVliqOmsSDyq65Yd21mh309n2pe
BfweBfYmKCu6852054/gYxBZkGWnbdi5Y6bqQ7yzJ/JUIMPla1DwJLao6bpz7H9CYxH36+92wMvn
tqt+3gFfX/W2A/owetEtOTqjpWUszg70tgMG2P7IevCZZjNT/641jeKZITsqVv71V4H+tgMuhgVU
rwGE0D/dgu/aAfl9vqu0CdPkwF8gpotGC/jZ95ffGRXOvOCA9im37exCGtJvzoqZdpqERa1bK2E5
zQN8ogDTlG31/lWljOCZ8DjsBgEuqzpDoR8l2PIX7mYQfP4HHJwo3n63bC7IO42ff76hLa/6umzo
bziAJ+k7O3zYnMRfl435SlP2kJn+pc94u6GxNhAk0zCxWDto7/i035YNfm1mjTBsINI6Ogfve5aN
+eMFjWXDemF5Yg63bFenn/Ot+nnAtu/rUT1yxdCbAdPlEEsAA8MQIA6InWI9pIO8F0Pju8ee2F4o
jayVQe+s6EKmnXOHQ+NpZjmyjWfd6BDE1lOnWXVwnI0xvhpqcu0LdWrGCtecVtxldSa2QGG8PYQN
43JChvsx86P49J+w3OzftgNu+kc41z8vt+VVfy03EEj6EvNlWD61ENMyFs5fy40vsXdBBtBfEePW
Ak97W27LlAwpvWcxA1lG5qySr8sNaTy7Hg2D1ziHdzIT+Ut+2KaWha0DRub70RP8YZvyyaX1RTWo
vVPE7cF1tH49L1S9xItb/K36R356iCcdgKKqDbJnz5vKs6Bx3CsLM+/equd8GzfTRTrm3n2j51Fo
EaLycSRl8jDD69wOFnMCcGQZMbAMryWSuDDomU30FnAvbyxeuJTZq4RG8laOGlEDQf5UuBFxN1G9
y2KCGM2ONl1jsfjlnA47M+X47zTQYUYmP6WJRGs3Njqcsao662jqWXsG3zBBmMnM4Ao0d9jZuBfX
xKJUa8aBcmO2wlgbDcLyZohdfGJMb2Dc3buZ9VAt5KUYBJMVAS4klG0I/SBqQpxNXUhyqFh1JRMF
HkB7Q7roPgHnNC1cJ7Pktkq62+cCvnEIS1xu3Hp+CgRvAOTUfTmSKFMxN1kHyj06AqpbBEXK1TIP
4m16De+0Jejd3qH7aVcMKW8dSDv7tBseJ9fOSXukKiPqlNg4Fd0YS77RbN/wq5DIntkXpjXf9N5w
X1fVo+ySi2qkDAmGdDxOUwE7VbUHzj3rc2bElEu18URYZ+EioRm0pdvp3mqAGtdjk+injqW8FdfU
G2eYiEqjHstS+7Iu2tOyyt2Q3qeHrdW/ViMqCNPRr4w8n1c0UpF5Nk63lmZ/6tg6uciE/4RCm25S
A0/7yFqRuVsfuSlO2wAt+/9H6+aT+l9/M9v+9697lwtN4e8/A9ftL7rCGtrTd/8BojclH0k+t9P1
cwfe++2mtPzJ/9sv/uv59bvcTvXzf//X45ciLRkS9m361FPI/Pm1v+XfKKl/d+yFj934Kxz068ve
zj1qogUd9aqxoa//tgt5TPgtBDjIVKwFmv7tlOD3tRLUEmQ7OEMZniIQensPLr+l5MXP1V///a9S
FpeYm/vuv//LWFDP37k7CepkM2Mn5MaIiW05FL8J88oj0XVA+Kd9wpGdXUnPLNR5WboSYfikFz7i
traGLiU5xwr0L2y2H1JX0LdhB2D3Xb3/rPr1Cvl2gfwHkv6W6dBvutuPXUMSOpHxPy1AlsjfRxpj
exRbhk3I22sg5rJi3ioowOJ8xcc89jqLWtbZ25HGYjLoO2AOoO1M5wKRyduRxjfkBShGEItQ9vCl
dywmGB4/rKZlou8bFmYGmiN83x9KKE0ycZZRkqMBs1CfSy2ON56fypspI8FSI5vwBDiD3Ak3eYwS
rtcVYVxXbeab+wyj4Q7/AdFqbQDOKo/zvaIPuLPbyt/opGdspSdeVJ9edu78ALofFBPqariCQRHO
Mb7YLhO0vCLxwWfuDA9X97d+xJjVTWryHeNk4yfBmZFY1zG6MvqO8XVh5GRjYezJMgSQlYDwDwLA
Vc4OsicN07o7j7scu7Bz5nACtFVy6OzkAm7GoVTDmQkgLZrG7RIzhKItZfxbbVCHHokfBqsZADa0
Qm3ExyC0Y2nPh77hcBjMUB9wUlWAhY1i5+bDZmx6qF72pe8SuGblaym702mYOR4t7APOfDrkBAbr
KaJ1Aj0cJ92AAV/VqXFqJ+IQG9F6crlEF9De2r696CwSI9V8a4/ueb0EUGvJWVWmG2bsJ44O4ILs
ZcRdZrUVY7nniDqNgvJFSm1tdM5FO7g7P50PHplhSuPsxtLhQtXpfX+rRf2mkOLQkFQPcGFdQW80
0vkCmvCmH+VZWRN4appPsojXFtf5VeZEN1Zvr5HAgxHYu6a5LT1SfvNx3XL4xYbCdc3wvZvW9ed+
nx6U+yko52RnuvElKSiYSbK1XYNDKZvoyJgOgKLcJYruBB4sQBvVI72kTTVa2xGJh5PdyRJyEs0a
DcNV2Z9rpQP2OL3o3GcKpnCK8mOSjec+YpOaoLihRDvrxSd9aqDYHdYJp6YsWyBg0MmEvhaxDXgO
+HHmbUjJDptoL5RxiDTem7Ihmdx9CADOcqehIhE37dyt2Cm3s8SbTqQc3uvQdy7jmUIBLW+KqEB6
06aZy2ep+AhKXCdlsaoYT+Jzw/A32IcgNtbgMTdVbm4HP+U6wvsdZMwvzz3zMnX9g846T7zHYHYv
0lLf0gdkSIpkRkz7Upb8qgh5xybuEbp03Qeov0gdRO3bnzLTvm+SWgf5jPXyDEjWeIc/vgx20qmv
Uohsti63FR00YgPpgvXHzmxOp4J8dKs+S7ThqspsIu0ci0qMrNEAvitAP6ZRJKJrW7cQoc4Utm3K
eUG1DWTi6ueYIE/H3thqNKkdmeytCPMmYVGpY4Zp2jHykg9dNIYN+gmp5Haou9NsuXq38gPAjFgQ
oFU729KwHqPC2pJBFjoN1W0Lic5JqRDN1YCaugZhZRDgR/noQwasp8upc7G9yB3M0VMHQH9XR2uN
OGsllkfbvbFRUYxGsC+1F8fsTnwDonW+drVhVQp1UcGFos2wl6IhFAcki5ecmG6x00GqzEN3VOgj
NTSVKCcnMq3nk4H2m6ncbTZAn/JVvC1T9Qnv6Us3RReN50IcjO17i/4r0nN5osWUt0MOzpHvem0W
+XMXkx1oVN2GytHb064LE1M0YWoGO9fpL+O+eda6DvOJua8jZ9dHaeb9IzpaOnXbvz9cdzLNf+0Q
WV73tUhbSFBc+ZZGAsb8r3XacpFksMy1cHFofE+MozkBRI5+k84lkgHyd7dFgFX0upDKGejb+NI7
jtafzH3Y+QKXVG36J2CraIN8X6fZFXnsOdGh+5L4mhlQYkcnmN0UmkbgOkGYTU5yl3SFZS+DYKLu
CJdyKu4nHgFliKuC0Xgos8Jnfpc1MSzs8k8x5vvLt/+4kZCDEvY3y+ei7PJq/LkuW171tnjQHgQE
n6P0WT7yxcn5d13m/eFyx/exf8L8+7N99VaXLQHngJEp2/5cb29Fmb3wYOg9ENqw1GQoGd6zcn5R
lDHvW4gDLszBpbnx/dIJJKNdB5rVHkMnWawd0++VM0A/4pTPcsSA6asGYI4LtU7aGU2aAcRomUnc
TyJGpCAUKn6Q7Wdias9xNz6KIS4uGOAGH/Wi7cgxCcCOGp8mIyGXesYmAw0p2xZ1jYdvPLMZRezH
iUuEnWsmfjuGmvQRgr2OCP7CSGttL5gkg5NKPrllnITSJVKhGgwi1o2XtLKfYyvySS8Ldl1s7FqN
CccoJej3ggux1O/0yGACE++KynkMOhf6e7bj5xKQAcdHZZFqwxT+oFnFs6AMXNlV9AUX1ed+dk7z
TnNDzxzMhde2V5MgetKKk5VZFzfW4FhhrIjjzWqXHyh3SVxKv0gMwlSZ6mgIf90Xdkbm6rSmGkY2
mr8sQ/+5bx/9wbYBoAF8TaQV76y8OSFt6an3o2Lj593BabOD6jXCeB3/4Lrzl6wn/cbuEUTZLZBW
Srd7MxWhNCKaQUyFyIOQtxnZOjtpR9W2EM2DchkBC9/5LOqIfM7B+pJrzc731BnNi4eEk09Gfbrh
8meFdTdb+ImQR1Sez/gk9k4NJbL12Fam+jA3xECdF61e6pAGVDWtwQATwjGMQ38eDAM8RTO3E+9a
DaVdn+mLNVjgEa7xCnuLaZjpGFzKxUisL5ZibzEXN4vNOF4Mx/+ITYY94d+fUefP47/2j2VFOvgv
dhpe+nWnwRBAq5yO+HIUfe9Ap3/97R3w6w3Q/gOXKrHhf+u9v94AgTEumiRehz12uTq+Z7OxjOWG
920/ge9D2i2e9mVf42zkrvltPwEtEywrbRZ7uHrRNpqkuSoTr7jKZ5OSPplD1aJggNawTUwwi1mw
odpMkLYMXG7SqXxqtPFUzdaIm4SSfLbjvREM9zpS3prEg6ve6qZL8KPjaR5FKH31LLqrZ7NBN8I9
K86CsB+f+1rduNaV7KxTkFAndaIKuAy5dlpper7W9dhc27REVwbZL3NXoMepjGxrF/IiXQp5A2F3
n5yatWltUFJSevqg4qAu6eyF7Q75BbIs7LmMuTUyqzEeW+NN3mWPwJpCAy/vjALI67OTeiSCNq1v
WoyG1hjta+w4jgdbI9/6AZfMlm3yySytYOdNlNcEYk8Fw+cZp7yHTedpJlu87wm1CQL8Sv1ReNZd
lWYfZv1mMPNQFh+G1ggdWoxxc9omORE38zrXPGCD+yxWmwb3n5sVJymC7Sw4sfJuh+dom8bdcR7V
Wo1ya9XNyurELlqCIlFq8me28GYuGtPbtV4fymwxsm+QPYRubR6ilCKdagcv1tzD3zCA5WUSrNxQ
PGsNcRGaFXyeiv/D3pktx5Fc2fZX7g9EWczDa2bknEjMA/kSBgKExzx6jF/fy9liiSyVyoyyfmi1
7pukUgIoINPDzz57r22+D718xA5OGDxLqbcQ66Kwdn7TH1h6P3ttdBNpH0H34Rfm/RAFzI3qBPOH
cG56bZVq9vsy2V8qV9vG6a2vbve+f+6AfgtIsDVtAu0gNlXVrbsFRO7o4tMs1jmw6Ip0t8as0hrR
3m8iPHL+2W+XVboQuhzbnSaCY1cFmzgdiTnmB08XG4dzKuO2LaEFJgjkYGWLk9UYYdSOnN/5q13d
t/ddwbkGt4weAHAu3lNqm09alKJUigPuz+1iBDep2W8Wkzo1sp7NYO4F6awJMuUqXpr7OudSz7kP
tGzswyBOrtikhlOqtvc1VfGfBxdQiCPWJY8cJ4rSO7od9jYe2oSHmsP87pXOu15lh8IXO9cm77X4
MxXEzfUML95a+CwhjC90gKZZ/+BjN+DJDQAMdA7cB3iSWrXNpvmQecNnVy92PENCVx/XU6LdIQLQ
KGSE3pTinpquSjc79Ri/0irbAl4PZxpV0KYPmBGOZlXuasc68O4FxUbOIJrd1ewnoOAZtpp52znp
nW1RGFxVoZ3W/G/eOyWnoRkbBH9H+xSNLlVL9Y1LMeM0uw9Zoq2Svr/QSrJzZv46Ery3bZCQW86R
GhNN73MNBaV2i602tFSW3TJpr0kr42AQe22AjVPmO69BdgnCND5SCHWwp3cXg3FYBN57ERMISRWq
u9LDEe1EdA2zbPweM2KtCM/oTLyINWJOoR537DVSWVT4UKrskgW5c2y4U59BDTTHCEjpair4PjOM
osvSkk/QHfmCe+sYxHax9gWw/ap3DjFKmP0vCKT/fjdslbf/5w+/q9dWJn9iOVCv+v7cI7DE8OV7
gcv+2PvpuedRqageX6w1HHoN1Z7v+w0beZNrN8mjv1u1vl+yyfY7+IW/I9aY937hkk1u6R+eeyah
Owu7Ado8ias/KJ/t4uRcvp1iz/enuFtauUH+ZNAxgidpcCG687m1nH3qAgNuhv5LblGrNegGV0ma
d9dgS4q158uPKWnfArdtgXtQK+7w7lq5KtleB1xNsZ1CgqojjrWq7VUbCdF4eCCrYs4ApvhH7q4u
tSiNvhZSvyxBdD/JbOdJc9dm8VYrGnPVO9oq88pPugxuTR4Akjw32W1nMwdeiz0+NjfuUiZQpOzp
YGXU/WkS0rYchn4V5SMJpELH6rt0zcgSsPBPohm1cKB2gC6laNtnNZkWLhpsqcZXrFuhPQNmHdzy
LmcRXkGPJR5onrg18oiv+Yz3vkgICFmXZqyNVZIiU7IOU0hipMWm78LGHrF6UlmOQcvLw7SWTViC
SdSSpNzalMDXSlKNNM8CX9A/OERlVkbt7ow0IZADY2OVTzyrBrf/Gjn90RLLNVXyn9qAQrUoEPqa
txvoDVrTV2MxfriTsROlpKq+rbdF490Bu6mg32IeHiz9rfV9lmt9SZxM2pu8txu6U6db3RA3uR99
KWaf6arniHDFcLFrOpNa0XzIdnhmt+KiDlsAcsbyEsTzXbwE97awo1XZcXDN6NClgRU8SKDT6guA
mz5/xmB3C9LlaKBhJv18kbDOdujFL6Ipvlj++JLp7Ix9iwI3KbtDDSB9S2sjWnSOZVguqoyTVjr8
FXS2V3BYBLGQUHa0VNrTsxMMuKsSlrFwAtnITmO4DEHouNVD02SbRjgVJmOcs3SDvuic8dTpQcAN
XDpzJ+GQ4gQKhq2chpGYxg+dPzqPZu4ZtloRJclUHnTRL187y6luuppi3JUmtHpnpfonoBrxfTem
en5kmbmpstIywIjZ20mY9R53OVU7YzOERc0j2Yla/4OZmVKeb8ZlzfCPdW01Wx9TM3MiFG9szhK7
M66gHhc5bHdHeaEl3GHeAPijubPeAd86ADhOqcmFlJMa97qQlHKWmhY2S3MdBbTFqwrfFUHydDkh
+HvWbkyKf2XP9e93jKuw0l8c44l8i/9sGeqo1/3tIIfEAqBKV1kIx7WZYzgov7syzN9sjDyQWDCD
/Y2D+/eDHGYKjgyaq0zS8qqx+u8HOeeuj13n9xjWLxzkGNX+cJAzBOno3jw1SH64BLR+HmDAwgf0
qsbBXsvSG69KDvaif0X8OZpAmNWFelCQbhcsMvS4VVt4W9OkQs617zuifzU0Eo4vIvlkiUg28c6L
N51jbRKZnio+UY7Ax43+3luKsVcTxshOZrBcVXp8ybP6upyy65wlCefJLZ2aMPhoLSljmm2adOUN
2m2RzYc0L76AJmK89zaalqz7JT1Urrf1BnM305LeLtW1X954YJUyFOyq8cE71d1L19W7OijDEk/F
6NQH7Jkr5X7VLPcYzynwrPGxltMWxBbbHoQMLf9id9WjlpT0cDkfNXfixCnOpVEejZhek6zaTPGy
qhKq5uSLaaXaQ9wOqEC5zvIo8ef4Gt5K+TIM7aYJxjPS5dowgUNo7gjsrlsxHd3MQ3VCZD8ahYeJ
AemHfplLKmZoMbmgzGao3PXcB30o3IArsU5zDAJNWT+hfq6JX7LOMvsXN6VpczF2+gJwSUZXTZri
zK+qXe+rXRVu0LyFty/MaRVU0R6I5cOY+legAHviGD3mU+ezJa1LUjAJ1qTiBrCMM7ffdFoehT1S
YecBQm+feH8sa/qNw1l/Eb5z6M3qZCfBvu/bg91pZN2sU+EzwlUv1H7v6TO8Y8YMFcwvnugQcHW5
0bGj9Jm+SyYn7LuXhEc4QfuD7XJH5vs3NNnMctg3TX9xGZPN8Rj51bGwvC1FhHu9L+6pQN7Pk3sT
ReVOFPZRzPlbPxvrWTOIxPC7N5vDGFkU4MiMWk76Cm32M5nzlFjMBbobrVxWeQmtPlD6qYPiZ2n6
TRfZm8Rzt3YqPo8N4K5sKHdw8S+wxEPT5Mu6yVPhMtx08l5HvZqrYS9Fus9KfltJJJDtok9CWkdq
RGgvj+YPPY9pJZ5edQSAhAmyyZn4oPknFluQiT9Rkp38ynmoqGNYidi/6mWxLgYbG2+xsr2C/47J
TkgKsPIxYgnmbaMl3UIbuTVzbD7q15Nk2Yo337aZmitTo3hA6DsbDsE48IPYw6Pfpw9dXt50Pfgb
xy93MJ57guI8IoL2WJtFaAEAGounUczPEtJNN/nHQg/2iWPEq0UE+0XvGM2C/sOBQOeSMEnA+YDk
YZyJmnHdi+aupxxKp5JrIVrC5yttRxJSfbMid/tkRt0hRtFLO3a8ecXgVspducxf9DL7XPn2R2Hd
GEvyiYsDTKdpLVLvApfulJbyIGr1a3ZPfZRseXbeajoV8mDN7Ni6mF574nH6ykUyrGzjJDxn6wxo
B4gbpU/hdpBA7xivDOExNqeUYBU8AGc6b8PRZaFtmtxqRmJDc6uvWjGy5J0ZPofUOhRdcbeUGJf6
q6xensRY5uSuipvEyL6Ivl9HVh0SuD/3hv1SdK+p5m54yN9Je1LVd1u0E8oivPrWtV4C84n2i3gs
rpysJmuJKX1wOyKn4mtJ3F8W4q0zU64C9Sev8jOuldmWq0ZYCOvoOxEhm/h1RJOpKUxAvL1YsaWS
oYSLsk02GMokj82tYAfP2m5s55s2y64sBI1g7m60bDiwqNml8FTVWu6QYjsA8bSaJ2Prdc7WFvMt
y35VfUF/Gs0B2nyHks12nYCAkexJ+H4xl6e0na+mrNlw/d/6JuFZZpJDS+0HINSrugkIR7hhgEYg
HH+bxdzbm6beSndE+n7UPeoI82yNtR5DWuutpDG+B1MjIFthuwMVMzrDyBzqPXcpc23R7hIxb6DW
9A3aujGcbElJ8pRueiqRLU3bjEF9iIjLQTFfBSXwr/oqbcwH0hc7ObZh4MutLd191BxQeY+e358W
L90pEKEDQ7Zc+q8yMijK8c5x/tTi0EfjXS1mtelKqsLaJ2aQi8V5LAaTPviSWgQ0bqtc0663G2kp
rjO0sURbp3wmbU27Y/Vsai6mioeuMzdT5u5q8dGXHj/4Atsx2AYoZ73Lk7NMw3z5krIyNuY715Kb
RlprwpvbxXooe28z6nKFPkDDSLb2Cvfs97UqNFtnhbPO8yhsYmedxPDgcTye01b7+HZn+T9e12Og
s/7Fzez17c8s/epF369l1PUQnwXvT3AVh/KPtBkLVogy9QAr/e/d6N/nayKyFmQaXTV++99I5b9f
y1huqbYehbNzVLT2l9aff4amBrKn4va6R47X/tbo84NPzTNANHqy0fbd3BftrTFqrXkTy76yeZzz
gBdZTYFGZL5Ufl7QaDIzgMXlm5NDKvMHryKLwhgaR1i6nWVJNlmcUnhfLVBCTGp/6KDLMBETD0Xz
GrXZD6dqmUjiyWe3rs85nN5VOhpxqC/TyeCORAtooDZQ3lfLxHo0V8bRnMTDwAh1qYuOaHylqdqD
+uipw4TH1MUvooKYU5OtNa7AnL3Ra+tqZ773xzR6h0outHT1X2MB7bJvO0BvTZmrwUyElHt4q6Fx
q3Vl0YCqe6RzoqSHpppOn3nK3VOQBXPKJh1D0fpeN8FZWrw4w8dHsal25UntPjCiL1XkvCye++oA
MUEvjWcmaV25jcXRy/Urs+gP+iQ+F2OMrWXwgQSyEYLdc+/kRbZ20iZZN6q3SDBWh47qMtLl9Dqq
diMpavZAseg2KdVHgEJTqN60IYFiuWpcPB9RSwJLqh2hVlCcl43NJzOmD71VzUoJFUuC2Rnhvbku
Fd1V2L3B2kqZV/39MtvNfJ8LP9pWIhrv0rwatkgCj7FhPFaiuelnoQOeXpzVorXE/K3W3aZuxyV8
6jm58qIjw2rBKeicB30Ckaf35a1RFgBSJH2R3LA7zCjqINYlbT/2shwB2U3HsqCSE9uWKqKvl5Uz
xdsqGPZB7n+JLMQbJOdERGd/5s1QezRaSm5Neh7Qd2Od9Rz/bhIFO91sHshRvSme1oqqnXk1zpy3
Sdy8I9m/dFbVo07qYedp7yBjw8gf3uKCXAqer41D1ZKwMBPFA/s1VkD3xNZulgjSTGK2YVYQ3m5I
kiNKpsdgQRCPUp6kboWvyIRHEFBasx4D3FIuKjkLi/rNoEbRwV9EtzXl8wQSHko9M9esUKqwm83P
AskzrBBA1pqMCemZ1QxDfETJdYNbLhtAVOYpXafVfPCa8bZqonfwtaFXJ5RR6Swyk7l+qLXslDe4
ZNISvMyvn9L/F32iWEz+6iBfvxbvfxZPVa/6rpQSisEm8rsjxeEf/d0jSgJLmUgMA03rx9QDFlFO
aRwKmEzQWNVa8ft8jYZK+kYZTgNerQIRvzBf8+D4w3zNQ0SlHWDsBQ4N9WR2/t+PC8LeyMthnrJs
XwyecQJyRKtyYLAPmfL2CXTGpcj9hyS1yNzU8ZNoiBWOTU1SMdXeEq9zz9JzX3wWHpyHCH1LH3wA
CSpXyQQPNS/bZ8etP/Uyu9InUt9tFDUrL18e3Vo+5G1OVDMhVMgg1VIPO8/yVpTRFQWGoVUyIvq0
uNBNuta76akx8Bxm7OTEIzu+5yGvmHgYSfTmUyeajd3Zp4b5t3Kyu36a7oIANCf/zjtrlrCOxqPg
esr1ify/3rcXilfe3MSllA2OUiHTlT46676vuH7XtNd47hswq50rAi6m8IZjkp6IWPML69ZT7KTr
InXOC4jRFtixn/OVk/K1YOIsKnvtGjFTUruemj70hDwEZrUegmKD9/JRGQotY7rFEfBKCBnoAqMo
9Qg98dcYVkoXt4xNRpgtJVujcd255ZaSuFNQFTC1aX6L+4Ofp2vQnyWs/CWHfyTRdcWWPEbYiHsQ
3eHCL5lW7q1XV+sCodnkDyPBW9RU1A8u5kX8SRZMaOsl8s4Bzd/+oANuwSCR3OqItBo9qaXnIIBb
ynG6zsEhqVpY7itrt3nsUBx7a5fJ6uAGXwyTO2J1L/mTmK9lzaNjvB6GN0WMgq+4DqjtbXGYlnG9
SXX9TKp2Q0dbEw23ducrrv9wSFjMPs6xG3CNxsKbKtSz3unXSTNYY0iqZJUWVliCOLgO4NPpRzZk
ygNPhxcxkg5FcZNawHAhhml5dbaUy3JQfksgH+iVWDBz7sM1lkyC4psYi6aPVVN4r0uKcRMDp9Xe
OOmlxtTp2dkBhQIoFAZWTJ8+5s+Zv5mn3KAlttCcMXhsrI3ELlpjG5XYR+dg3Go2NWUMA55zM/sj
vzLIvJXF/aDeNku3guFwb7HLniqEFvfzqLyqAabVBPNqHe0tPePP7W38RWP96+xjrK4Cy2uBNkt/
RghkZ1s6BZbP7KCGS8VmC6IJMEZ+rLDRZs2HUqpS1z0W8qK6DWYstxLrLbpKBcNHNOY205ZNgEHX
V05dgWU3wrq7YOHlvnm0lKd3Rs8XXbxu5uXOV67fBtrwnAAI6+Ex8C4vSTUB5woXCTICWcxUHmL3
yNwWEpSDSYnFmPkxlHiOC7zHsd1d5Wy+EZquy8VnubCENddDOhMPbdBtOjzMDl7mHE/ziLfZcniw
Tzo90N6ubrzrnurj3mo+Gr8+q9nUwiPNRY63orJNQ0g+lcpHXQr81A47fffCSUddg+Hdp7QmJvPS
kCUXB79jIMeeLVg1EnjfWNGCbxsDd4+RmzTSecDY3TvYTU0MtUOZP6f6vB+t7Jxr7clEk04brEpC
J7hOD8YEoMMG/FXjI2+pX9NYeOQWaSR85q7ym0v6PwSXGdhLq14OW50ScGqbP+HhPvdTcVpkdpG4
2PVGW49DsHdS7FWyz6+XUdxoU8k1JD/NGEpXTldfz3pwoy+dGeqx/5gSaor8ZThNubGs4MnXG0/5
6xeM9q1y3M/Kex8rFz7nerDylDO/xaI/YtWXWPYX5d2vslbgy8fU3yh7v6WM/qmy/DfK/F+qGABT
LxO4XnvbBPI9iiUYt1Bv2/bx/98dID2oBOxf3R32r3ny8TpxUfiWfvo94fTtZd8vD95vJhdI0q/Q
0n1Y6Kjf3y8P/m86e1Ti3mQW/zGtZDD9Mft/cxCpV/1wewBCQf+V4wbWt7nyV24PBveQP9iLWADA
dwSupqZOVTj74+2hkqUm5Ciafdyo4lareByNnsdsGcfOfsBTcV9JrVmXntZtYyo3d24xersltlt6
P0V5kwad2PtOs0tG+6tRezw0qw7wIHy0OpNcILzxfkqSHPhg54eD7LaJ33Y7cP74XBgD1mUPMXDx
/NB0NH2NxibWhPTmHUpKjk+Dz2YV9QQ2PWdZm3W7AF33/U0tZjoNcD6FfcInk7a34GEoy4OZiWyT
mx0V7z13i0Kn9S7xIvejKigLZwPMFb+Z4hDgC/lDf5APae9loG76j3To+3PVeMV2MtHFNFZ3O622
aT01YdhMsDjwc1TpxY+Teu8w/221yZx2VWRa4Yh9cZMWC5ZFbIorWmecS2m3oBVkLDeo+6jdjqtd
0/35wjKi4Mkx3TherxNkGau1l8FdxuUFRLnWX/CawFcviueR2tvHpVGZDdkYz0Ff5ofAH/v9YgCj
oq/1MSgRFGuumiuvY50rx/QrAQk95Ek8buA4Q7Yf0bUbw5ehnrVl2KSRdteNZkLjDc/7gFDCmC48
GN1FtfOym3St50guw40O0u4oc7t/MIacNkFbvrD24KoXuSAoqUbFszVQfHvAFY09qHKwowBhfqnm
nDGpaj7B4Tgh4ROg8RilSFl8xJbzWk/mczNX9/jFr0eKrLl68fvqtGoDOPQFTNOEVshVCqDJXYsv
X8j6stjJbk5dkipN8dT4JUto6MjQ06duX/UV45lpMLEZ/Phelb/WNOBuLLWDLZU6OuW8hyaiE27m
P0d2Ti93zC/eaeJzW9gvTR47V4OHuL1klA1acfwpmauvVeLt7VgzV52bAjxiIg4jI/1KxzU/vnhG
rD3gfc83pjexGdbF4yhJKqUYC6i9eKVPC25/U+KcpUwUkygXYOPrPDI8EsuHqJFwEelAlK3aXNyU
lfnKW+QJgO/WafXHdunvvSy7DLP36hbWHUPEmmfmPW1FJysRBksE0K18YB9zPQnjpLrxUdxLCpTs
YtkJrzimhX47AxeVTXvwGAMKIs+wBI+xz1Nbahtdt19T1zs2FteVZkmOWZVvyzkOK6vYBUGzsRIT
N5sfCo96siy4McfimBf5c8JVJ3HjIxC0Kx6JW2k7uyIJdkZBaxbn3JWF+S+FeONP87kIsg99jg9+
Gt0C0N/ATnoGDr5OqCDpHXe3LBheS+dMR8oh1fxNkDSbWZcHDEnnFNJaY1gHI5q3fpZvo0aeoQ+u
yqJ6Np1pPfug3Qb6QjAYHXNaS4yyup6MeONGTcJeCJ+f1V543++gWuwRtaF56XyF8mnOIaqTAmmS
JiS7HfpFvGmt4C6GgWWk3UF28EPr4c2I/SNKhElhLwXrRvIoVO+BzNtjX9OWBb0nTQRFAmLbufZh
KKfjkJEeto3P0qjRprQNb9ftpOlcZuLXYvEfrNGii6xqXG1tCIVFJNhyqgr3iNZCl8qk0fVmE5er
HMCmv/6I/jdcj/8lU/TqLaz+NCuMKff36Z31uG/ixCWOa32LeP4ALaCoRHWD/G0Bjrn2Rx2W4nRq
Wr9Zo9Rc//3xC83A8Bg9oQSqXTaOql94/FKW8ofHL893xduwTX5mKj6+Dfc/qLDzgk3cbD1vT7d0
nu40zek+L3RzxN2EPAXeat/PLGoGVeFhqTKP1oGXr+o9PFUC4CQtRzJpPD6qLU0ggGI+JPaPaqBO
285RXmNsiEVrfmitd10WrLFtc8itG02wmg01Y1GygBmX1Sb2Te2aVRozu2xZ3tYeub0gHc7zlN/W
uZmdgTcnBDAZtVnY0oaiNl0+9+ekYMStM8o2KC3SuDOs9AV+UF65N36qf9hOne1xwBJgw9O0rvr+
XTrmsR9Qy4yWIaBf7KPG6v5LZAcnp64AX5nzHfHPfl0s0Y1ea1W4mN6nBhQ6iiTrDieV9AS4hrby
ZXNqRuvFypd3iWSNj0vcV0VxD910WhmDhBzS08eewQph7tGMTZDPMa3YI4v+hO7FsjdYpSBAEmxV
zxVzH4vJCzGLYlAABbuuWdis6Vc8kZ2fsCexnrGEdiK8QqtMfb1MHt6XxrzXvPhl6FiFJc7wkAxS
hmbDBBcvsUqMdltLehuDCoTjaEe7NC69oyuym8LJ+5u8oSYhZrpZubUrVui+T4HEtprr/XOtLd4q
m90+TEhFwFeuXCb77soqLeegZVq1K1tKD7SKJa+X8S7wEnsTaEDraiM/F9mEdSeYWcLxi1l7DVnc
zDm4Wv2WN/EObyA4vB5vmjVN+44HwGqyWN97vkvENiivp7HsOM+tqb0ezXb8xFUg2oFWSbvNf8L5
pO7l/3xJdKxibGZ/uifidd8HBKYAl0ICRgC0u59aCWjA43DiIgTq4L/HgB/PJwJQP/g3fxgQHBJ0
roXXi6FfDRy/5MNEQPzDCUXM6ZuOyQ6LUBVXyZ8HhLaHw5GPot2zILA2Q5FB25xEM1VhbSR84GyZ
D7vZSjr8Fygq5Kb4/DbW6wR5/j3uupbSDG/T9DTJLc2WhcNN0qFquXSdO13PJaKmAXrML2Zjfq5N
PtJJVBxEtFwSOuL63qAWI5n3EgWtaPNLZAZXvRvv3Tm6H3LjYXEwZ2uWl4UaWI5tYE6viYG6F9fL
KaWUCOc5t5O5NobhnBaROdBUyhJ9rdXcKUoOK+041hwmdOJtzZ79NK9jtYKC1nifCys68yw/NJy0
jWOeLYlTKGVZCtV8Haf1o1UYwbqZxu1UNcRL+VFk2YddMbKkp0m+1kju1BTer3rTWptFtK7d3CJt
zi1A1vpzJtp7OWVfWuKqcU5wQTNOjZY9sUF7nYpuq9tcdYPBG9cCBaRsKDqd0hHVRNM/mW63LO+z
btT1FhnuSyIL2qJG+k2EhdxUT8aQXMzASosnV9P7Iw4xeKilAMi8AEka5mLY6HTYr0tZTuSxgpNu
zzOhYys+AP13N7k1Bnvf7usrRJV55RW1QbKaUj9+oXAyu/loSRc9OMdORdkrPYC+hrenEg8ChCmO
tC9V0UBVLcfXzhcc9aNrbCOPvj6jGshxx8ONt7C29qKjo/ywXS+GfLeAp1n+M86Wv7z7HNqv73/q
DFQ8ku8raF11tFGd6XJUeGx7f3AGGmynA5sN7Tdb4I83H7YT/F/BybGYMNhe/7C4cH6jpsJl9YyL
GroS9RK/cPdR7Rs/KQ8EcBVQzqJwhZU3HsSfDxZDal5ulDxwM9Ke+GTGXgeVnidgzS2fsb3Nav/G
nrOKqH0seEeLcmeqhpzWdHBOB6zybshfzsatJXMDGFI3vVexk/hXzFkYUgvXr7q7OrMjLCq9Tb0v
x5vmEBYJHlJAFx+9PQ/WyeEyla4KgwbdPPLjKyDwyTqO5W0t8C27ziSeRuU3rDJzwRijv3UeMNmq
6c8Olqx3x6IzslCZ/SDDDRQ0fXTVugisnhC0M1Z4gio7b8I6GsWua5tjPblPXFf9te4k0WkCWgFQ
EtBCB8LxHEOh3uhVoodJ5XvHuXPOyHxou1n0JYq091H2chXw9Vew1aJVM7jOyh6jZZcqAOVkdyxT
qwhzseY/yaFwtrnf5BuAGFva4fZ0iNH+2dsDJhfhYfdIkq3p1zsslK95W9y32M+3S9C9/yc8282/
NIBcqlYytGGU/pOYhXrp98c7QWbY5NDSQIupRlo+Bd/1P+83zBzIf4qtCNjxj7QizzIweth0Xn1T
Db8PIO5vfB1i0XxELVWF8GvMtG/xwZ/jhdQ0KmybzY6ShSTLzR/1v7T0/LRGhNlLu9LWSdpjy0jJ
vLnNxRe47qYMm3opP7HNuaFL78mO1SfQJkeXieGgReWFqul2gw/9rVYCOhwFGfpuseHfjkzbIIKt
jmdUsxZUJg9rOgE+g6fHVW7pYgal7JIyxrw5CtJXpqyWndaO1qau5L2w0i+LSD6ZyUCj4FDs7UgO
G3Okc2Yqx5s56I6FX3MvCS5t7Tx4criAeNq3RnuhQP3O12dQNGInmvrgKnFea5E3cpaW7bW2FE9y
7O7HcYL4Vp1GczyMtr8pa1DZDd8pdsCek30cA/fBNfvXrMbP3omnWuhXacaCJa+7qyFKDwNQy1Vv
aGdcEREOXOAxMHPLDM5cbOzHZN5Wuv5Jr3ysDq2cWNJW61lYb/pIAppS7QN2+etR1iEP3U0htZCL
wCEpnEM39gcjsfexp7FYbJIXqx2mL3UFXfgsS66GdHh7RZB8tnvPeU8cvUbgwh1Bq896UJIeC0l0
RlS+bHGTda2EP21uWEYyK7/Pg5YdrdQUq7oqvnKXKOmVsHEhyIEVqF09zkpi9JXY6CvZMQEZ+Twr
KRKye/rYoE4mSqakp/nFV8KlqyTMWomZtpI1faVvkt5BCUxeJiV9FkoEjeiECVNZB7QY+vYFPJ29
sgyJNYI+NfQfz2aV3Gl7W8mrnhJa+Tn9Y2zS/R7ZVk2xXZrcpZY97uSQcg3hgxeORhtdhppABfRi
ZN1YCbypzh4csYjBVsm/lNkQrZMGwOBUym2Eqrfp0YsrMzPu6oLCT1OJyZWSlUWWBhtDSc2sUOlE
6snOepo4JGb9ibxUHv7PHY8/Mbr+3J7xvxf0pixv/3w62ryLr29V8eUrZ+XP+xPyzD+en5ZtYmog
P/Cd9vDD+cnSgo7Gv01HHK0/phtgPfhccL9PTt/PT2JqvCkojAGMytSFIvMLlxjDRQr66RbDT2ZB
WuUkd3mvIyf9fH6SdqSoPANUzTOg8Z4RLOSTlrh6tvEU4R8rskCLDvTz4gLExkIf7zWHToDSn0yy
CvF1C4Cb/wSh7CPqR9JoSkjPiwBvpoEGyv0FbUUFeXSrSMJJLWfaIXvMS/WhVkJhriTDXomHIBxw
2aIn+kpYNJXEWCux0YH0RGRHJ/7J217Pi12HQunU9ucRxTI1h6NEwTSFRrROHO2l2QwonJNeH2Ml
eUZ+9lihgTZGYq1jPSAmNLz1qKTxLA+GNSOWeDdtm2471NQWVZUY7JrQ135EbW2X7JT26cks/X3N
pNijymKXWeHoTrbSEJu6La4z9Fs7To4jei4cWPY2EF3Z2DwTAV5FensOmNamTN8mhXnI+K2kbn1O
0oH0NFK1ynOgIMsRfxiKsjk4OwoWw9Rp1jmKc43yHKBAB2Z6ShcSN1Z6laFQp9hRvHTBood0Xdge
GAhnZ6BpO8l4BU/tCARiP03lcyEU4Uq74SDBBxmENtp4YHq0d6X7Jh8p5s2OrRLSMxR1PzZfaWff
JCjtthYfTToLgGw/9Sjx1FgeM5T5scmPDkp9hWKvc/LCAecmm4YJin6XRMuKollSL019ElPwVM74
ONgCLJr96rMVEOg6Mkls8vNZdXLSTuNdUckUGJuRx3zjWK7lFFdvBS4C67gERXKM+HOtyxrLvcdH
CKvLRHgtWHBEGHp+6RIzDrPWsZfdXKRAxCyzc4b1/9wx97/2DMMl/Vdn2L7K/vH4+vaa79e/4DeW
tYCMIPepK55Skr8fX8FvyD5GoHMzdJ2fOTZIOEB2UdmA4wbIzRwq348vqg2oEfS5rtn/AsrG/Ydw
FqweJkSI8MAsuFWqf/6D/jzEGvurauz2ee/e63Mj++tgXIrqkFvd59JlMvL05LPm+7huly1wpnY7
Dcb73Ir4CFceDF0ZxBvHiQuUIE87Ctc7JXNxzcM+lIE+q5q4Z/o/nioXdkCkbF3GgkmfqHoe0Yfc
mjidsrLJzv9F3nktR26kWfhV9gUwAW9uywBlSVbR9w2Cpgmf8Cbx9PuhZ7RquYnQ7epCHVJ0l5pk
oTJ/c853ulqNSLHV7LXZzubn1GKBn7KIREBy+QbLfQptdwcU5S01MHuNPSiLmPA9L/LKTTOMe+HG
l4xPalEor8JlHygtYxkmJcQI9g+FJx5Bkt9EVFh26FLZ24fcI4lWwRWhxN89kZ9ooC9DKvHptCdF
dZ7GEVRPOAWjwdrNto6Y8YEKsFTL6o3e5dtsJKA5cTYK+6uVqahBUUGSK51tbGvHWXOZkBnmPvTM
fTKl5caqG/ywkSDdHgH/kB6rqD16KiIXWrxPfPVXS8Va5LoYLZMeRes8m3f4gx/0LN0C+X/pRX0e
Mic89WTCrGJz/iyjcVi3pTqgpdX2DMw+kTE26z5RhAY4G7ObNk3NVoobu8K4Mpj9eXb7r3KuC9bB
beGH+cxI3yVRQdSjt9KHuKIcN7FTsS/NnP41a/l+als0fk5pK0JX3Qxqt84V712px7vRkLedYsLZ
aUwAR6CCRyJmDMXeRTA5ViDaHkEHHxVDCViR71WukFWXhOq2q5gB1e5oBGUXLva7ADAO7r8pv7MQ
VY268q472bviyKDu7cs4i+vYAvlwi3M1tUdZ0D9r7pZ4BX/q4Il45Xm2nLi9+yccWuZ/HR1dyw9I
ZBHd6x8qLwz/v1ZewHQx8NIa/ieS4Neja+G3GUhX8Zv+G871m8oLMgCoUs3AyABfgJnTL0cXaDdQ
XrrLKYjQ5G9ydpfp0M99K9MjIhOAE8D5xtLzY7r008HVYCvNY4/gZdfuZucrmWPF2jrLQ6SuRDhU
0yc/hF4/ozRtvTMwkgXgFv0b5/ZPeEYWIdBfF+fnt8/kT0Mrlpf9Ml7EXQz/DNQ6nD9Ixz/pol39
Xx5DDx4QhttoShf186+l+SJ6op5lhrg8WQwcfnlAltKcEAxYvPYyFXT/1miDL+APj4jJlpawRjJ5
maEsJPuf7zZpVQj1Gl3ZaWWKtyrEpsk9srPJrNiqjvIoI41ornbhsAryF4Wr0DDKcouq+JB4+Vcj
CBdryG7JKx0VXjNwNaHjk0ZTBVPefTfzskbIpAiAq8idG/MpFsX3sXMhayrhapDaR1MZ11wdn/Vs
vLfbxFopo75r2uTkFqQvJjHgB8Qf29ypnkrhXWIt+ab24zlzSsxpjef5edaMfjUNd2WLOMW2Ufpk
wtlF+RzGXC9eQy3cWWeXFR9lJA1Coiw65K6rcF8Wd+TF3jrsRWSf3oZOzYLSuqa1UFZTFaUw67QP
RyhYk1OGBpFa4dnJirPpkQRThROXeynidQbzYzVEUZD31Ucadocyy5+Hrn9tO0ffQhYg2CeEzjqf
NOB2q5awipUE6uvP2IrXVBjFqraUg4YnF6NnzE+aweM6BPCxLwurZstdXswxyeH62g16GnWb9dXW
bBq/jOnNFQsGrOltsrTo1l6ek1OUzyaf8a7dNpQiXqJfpCqZcLrdw6yUN8pknE0umk3aZwfu8ENR
uwPMturalfmDPVHpW2BEDtYMaQJJ7I2TpSQCjhbAvCxsNmFc8ybq5a6aSPvVMyBw+gS5VNGeJyMB
ciRmP9X0+ziPBEFqw30Yjsq+z7VbgnjDldmOl6w2j4yVvze6NAEtKKAjc/tkzoq3Sz0Qbra4y3R0
5a2ivyD4vyDdUZde5VD0+GJ6PW3WtLY0BIOaXRKlfo+74c2NsQM6TY+pN4lv1TB5kEINyCHY4tS5
bWf55SjxTq+050LyPFvdrAZxqYF/thNvBSCsWbVFfO9EJuR6CxH0pC0QDyTlW9PuL0qGT7Uckpzu
Q13CWiLCqtLkqexksS47I13LsaqCOfWOo0fWVKu8RWH7bpgF9NzhPu0UmCojDKGpVbUgrvrnGv3p
ZrbKdyXpngZjiTOtQTgrffimY9NSFSCIiAvYITHqCg1kZWaLbRw6xqlIWxgeY3ln2N5edAUUmLiO
t6MUL0SBfevJYSUF2Fu3jd1t4ozvT1jyVbrKS2IiTQhTaW+svHtNtSVrybY/VT3EKB6je8uMTlvh
3XloZYRsrRYo5LVerGuDSaVDVBUp0R+1Z9w2BKw7Msf8XDNEzCVUK7VfuY64TvZ8l1opduW5CJKY
pjt1PAXRPVBBauI7ACz5iugIAMhwb/xSqIQUyndzxFU9mKO17ZhTLa4EshLm4bNX6rOaa+dipHv9
J9xNNkXDX99Nr2/i47v8Y+2yvOrXq4n6Q8V9o7Fo/E10KVcTOArW4w5BJv/BZfx0NS19FeWE7i1B
R9xaP11NiG1c11rckktd83emRpQ7f7ialmU6eiRoSQyoXMqun68mdZxV6YQwDubKwIlSn5SZhF1l
qm+8xHjhycF+V28zN/FNM7pUdfMU4xXoGrElKsQ3hzQoMmINJ+t26qqtIZpHrrfHepa+07ElS/qH
KmImo3wQJOeXOB91OOgshMjtSDeKSvDcEK1nnXWxg8/OqioC6PqtK/K7WrLeZx4vBdgI/YLmZt8a
7r2JekVIZh/RwHKpIGWOdqKKd3MJWUMSgdqmN54LIXQaIiby8660Yz/UOY9UExUizZr9OWJCmUoF
npq2GaDeCW06G+RBygzbMtecRcfkudG9N4i1EGJDEMpaDjo0Imz+M5Nzg0kY3A4n/6a5Nhg5ZWuB
A+uzcOWM6rHOzZ0+t0fooHKduCz68Da7Ec5qvM4enmcX77MGaoR7xp/wRJd4o0X2SJHj28JcS4uy
QF4TfNTZ/A4BYRNOqGjaNmhxW3Oc7grXPdbRl8SLnS1aCPFAp7PJ5M7Cr50hDBpCZV3j4x6JUQ3x
dZsM+2eb2gC/NwJ838T/HeIDT62nDle4YVRbNg8rSD+rJH9y8I73eMjnZvreVf2mwlsu4PW7eM29
mc523rNy31XJwFfTboAFBVmt4wo8TUx3QluuFPzrEz52/ONbBk9UG5gd8bkb1XQc8L1bPCPJvI2H
NsjwWeI7fbYiC8BVip1kBCIPrCdcTPRT2H32mr2sGtuVsvjsLdjn+WOL+17mpZ8vdvwYX36IP1/F
p1/j13fx7bf49+FY7jW9YjOJX8fA3S9x+We4/Y35KRvN9xRyrodHlnIFRK1knE/rSMEEfntjwQ5w
YQjMsAR6FAuCfZRgEj9oOb2+56EZHfchFAITGkELlWBqJBik6itU3Q8PPa3LMNVg50m6PJBm42iA
NyiRc0cDbFmwBx74A7GMxcAh6GARDIEXqgOU0AFMsCbvfQH4e0n4OQJUyPjKsAvROIBaKAfEaU9J
/TIBYagXGoMUPBfKcG4M61orJKgyBOmgNzhQHEK73ER8jlLoDhWUh3jBPViTCe63X6uotgU4CC0z
NgvkJhyh1Bq05atl8DeBjzAWjsS0ECVw384b4Qz7eqFN6At3YuL7ZHm/YQuzLYFS9DrJN711GVXT
jzL1yNpwE3XijWnNEbTDjTpBImCqi8b2MgC9mIFfxEAwDLPZR3Z4HFGrD0AybGAZOtCMCZjooKqH
ZdXGylu6hEeA2MhgbeA8eTJgbxQwOKAEv9aTGyjzsI1j0zeyr0wyLhYWQw9xnXEirmXHAMcCGOVJ
Jke1sbIX3AfYjxLtDSNanNwU3rsMHlcLJmQAFzIUTzNpP5oFOR6YiBbrsGmAcNtgRmA6fJVh/TrX
XoTPCD+i6ZG+t2qdHti+8b2MB98tBr+JhO+ZNsDA/EYghe+KecubyYYJBWVmURYi/FH13NdG69BA
rpRq/Kzm2a2GIVhpvk+sEalIu9KAnaNfqlDdNdZ8Hof2XveAFZIMu8KXzJ+FAAlyZx0n8rXiTIiK
eFd1YwDwg/VgeVFIgmpbdw1eblNiJYpzApYX2UyoACHSrgZlbjswxFa+d5R+k9SCDLMEBqL7RlT7
vD7ZIZCd5dtK1PM4DhsPFEsJFcUCASqsdwi4QPNrf2ySdT7pJyv/zCNjbxQNJFIC1BtmXNK+KQmN
bhpCHUW512VJUAGFuNRnMpxaX0DIKfvoaIzvyBtXdhEebCkOTV8e5VLD6zBn8yzZTrO6dQb7yWZL
G+VvbqOdET0dlSZ8nDrHz4fbWSluDTnfqJp3bJ3iu+b29aqhqHMT6I4uQqjS5Diw4FDWD8w5N7ku
dwk9RZwbgSxzHh57nSKtzjRnhRN9LXS55S3CzOEQFlp+00d1X83ahw11swbgSoTVbVwpSEurh7RW
NpBrA8WUa21seF23sbLx0tXjtnfr5y4E+ppphzJyGZFhdOGkJLejXpnz05B16wbiNSEkdC9Wfa6H
MJjHpiM6Sj52Qt3kbXhTOf1LrsGcGtD523MbDGI4V6l3q/Xlqpbt1pwEGpbSnxqiCIj5nnxyO97c
WttbdvHBrHNnTvnRgayk9r0vS/emzXIPMrgDWWY+eMKEwWMcU3s4ipidfJFdc8Xay7r1vUWXicBs
ytZlhWr2n1AomkyF/rpQfCBBsZX58CaStz+Wi8trfy0XrQUmbxnMMpaZ1a8iDddADoV4inLtxyQe
dPz/TTKQQ+Ht0h2cWD8KSV71a7lIbYekibEIvMy/qRI31aUc/O2wizQzNoAOVjFkmPrvpvTOxLAN
XLG306jbRoKwFbPcQYxKPis1Iq0DAQXGLAwEK8TmcHbaO0NtNzgLAN6MK8UJfYvY9oqrUc8vKo2g
YodX6cYBPuuAh2vjxliDxuE8wnWuhDwRVAWhmE88Vqu8/mZ6hV903aGIouMwmlse5k1Ozl7sYufS
7K9murHVHu0nx3ZV389DSewLYMGI6a0UG1vv/Ko5u46JrTTHIltSamZbzOLXvvHWKhdMQ7ywZyy5
IDhtcYUh7IBZUxzVkLoiH49ZZ/iOmu3daNiSpL52HeALrroy5bQ20vLQq+znNaDqMW5wODfoQtd5
3zxGWr1V7M80Hq+ZnV/1iA9ZpuNfa5ba8aH0dGqpPQbje2+MkIMQFxKV+1atAy3ybhxL7HOBpTI0
UGURmyvNUz3AA8uc02whKO/AzLsQ1Yp6rfOV2I2JRC3y88Y6m0p+TMPodij1QBj2MRrEbszqh1S1
4I1hARqIPMY7RMt8wIu0Skuxq+1urYPxdBjO6JVxGm19PTHQZBi6r8pLiQ+XSJl1I1MYFo4fUdfA
X7kFYgW1ruPcMkH1vs249CzKo0p1AqOLAo16GnDIvYdDVNHlHY/6loICbvDk6120LFthX/VB2BcP
YfmpGspBb+pdNci9BEikzeOuihjOY2/Gj2vvyFncmmjRkZvh8+PsraY9jy2j/ciQ5tXNscKUCdBm
NY7MVaqCgOtyTv9ZfXLs9MNmmNY39bavzAtolide+GXaL/VCLm4iwpNdr+pWrWfB8zYrvck2bhW9
9B6biehjsgobKMB4H3vI40xvVao2IUYxLXXlq6pxW6LiQXnj6+20S0c7CPk8bQhfIq9e955yxMmE
I8Pf6NYJcxDLkpvOju9Y7YOE8XGlr+NCxbPbGVtpK2cBeUOa2jqPIl+XxmHS7DML+qM3ZU8WVies
7eI1iQZ4eBUQvgbMbFK2z+kw7QcJNpDfqM1rllUY80fyh+KjMVdHbNx8l9kxzFvMVXA059CPGJil
Dpt41/D7qIVkm18T7zoRWCnDniej2FCu33aOucOif4x7bZcn3c6Y4jsdSGFZgCiYOsnWyOZv6ogo
qSsR9EqFn4CnGjdFMA/DG+znwBu6ZxQJQZ/2x6SNjoqXvrKtOg8lxLlIbIzROtpNdqy78muSdVBm
QzDDnclADNqi5J3sNqVeU0aOQWtpp5Qejb8Dr7512/V0UpVCAneOlcqj8mXE8VHkOdKacmVLvBZR
A7PH3bnz9KaYwyGBPVfq+n1hiKsy1y/VUJzKrA0ShTHVZPpxNJ6nkskXJL3J42rtqv0UwbAgUbMh
D2jywqd6woRt9dC4rOdCQ7rgynejUoLc4p/xPaWRoFXoaci0D53it1MMyGLZiNsBJaXOCaXiP9Tr
55SWMEryk6sWD9JM/QRueSTSXVJV62EAas7aUdKqRIX9NEwxUehjiG22G8KW8Gx3gsdm0Mv3K8a2
WFV40DJjp0WgCxC8KZY/utOG5uzMHJkkNf5YyDx39HyIXRdHfx3LGEGm4udv8Qm8Fw5D8cgpGDCt
XbeuuYkynVZJ8C+lAD4uYSIxaHLwB2HtlBTKoTUfvbb2y7QIenUMLBq6EWH9iILbHtxtCKy9EfIT
1FoQWvk/YsW/xLf8dRFxzyr4Tzchy8v+Uz9g1FhUQMxz/rDkd1lpsKCycWqb6J0XkfMv0yZQXxp7
CRf90g9+zE/lgwk8hrnvLwk3KEP/hkaJydXvygeWcTqZmEy1SE5i5PQ7jVKkTjNGXO4fq42GdCPL
Kp5v4sKxw7XT6uY2xB0ay3xtdGJ+7LJJeYAlQRyznOr43A1RPHIfz+73NIJsaZJGe2u1yZLtZTQ9
i1uARq9jFKdnBR/4Xczs/RyWWsRR5tAXA0ncJUVdHFttLC60paoVQBbmTKrjzMw3edrBSHIaaQgq
lIqL9ocFoPthB6g12UFeCemMMtpwnKh0V8OLglh65c7yRXXC53nqbvi+D6wynzQlPirTSIfWQlit
jebTmC3tmJTiCS6DsUla19hmdop7ls8XfdzwVWn2t9hTHrDFplviOE9OETOpAMkxS/vcKi5cnDR+
aBPzYpQOKlH1FZF6D7DLOacN2M947m6t1PK7Sn+tO4ZRU0+nGHW3EGQezZzryUrvoynbm05zWtpt
S5aBm9JQDyMkUx0wdij1eD05KpuenqAIRhd9g+hwbuQhCXXwNiHi7tL7HFzzM7Lar0wzbtt21nB3
m9dxnm/bMn8VnX319PC9tfsAG3S76mz410kzCaCwzMnULNm3tvKJjOGYDxxuwGqtDYkZC7wj2UQI
5GMK3XWnFCcn6S65rcvA6Ztvzeh9NgAXl3H3A/kjmGqGUgPVgs8m6hzjXILEBU9MjhpxiQMRE42h
BrJjfd9i6Y9rGWQAyvgCtBsrTlX0aFQdAEOZDlrJ1ZvYR7l1wrwGSthK15sD2tBHOFnnkXke56P1
3hA0QOIma4kJEo7UoicDG1tltlcpCRKpmFMQbsdV1zEg7C0TqlAcXoChfSHk+lAT60ur3Vt3iJkg
8mCUYNoBhwHvsLqzbDTmCePzpOX7KuErK/X0NrWiV5UZlAwrMurcU2wpXwbU1dVCP80jwoVjTXws
GeY5DqMN2SD+EHv3MOI4qbVxT/gQjl6gNeuI+D4vL+6Z5O302rxJTQNSgD6ssnhtDhnuuri6ptHw
NnYT4F9IyWvWcYHqtKS5iDLQsvYUN2j2karQH0cuUpOcESst6aib56ywj7qh3DeK22yHZtrpfXFw
6uSI+utqawVuevMzRt9tku2UIjxrDdZRguFB2Fs3rGlQI2cfeMC+0qpmz4ehbWOPBihJzW+gVzp9
ttOqEMgoWZerVvGeYlXdOUSjlErPCEg+6vN4jGdMmUWYY9h0rswa9JXiil3u9uchn3ZsVKjh6oMx
IO0LRfyYAcExlPzgmMUF+/pFU5SjOo67cI73nJjbyIoWbCZsuZzwzIeot69WY9+opThXcXhszBJO
0ZisUmvY4v5cD4JcGLIj/D4mHiBvdraZlKu4z1+8od+MIKUHvb8vzeY01DzuNp80u0n4a/uFVJXC
Jxy+/xP6aZUV+V9fhbs3OZbl5x9b6eVlv7bSS3qfZyKuZbSL4eH/BG+00lgZLfS6/45ZXn7r17sQ
hDljyR93JNfCz500sDLboImmLeH/+rfkujoWpd930khTHIemHLqm88Py/fPiJSmYB89GjhfGDcEb
Fqqz0zqmezMN01bRZ+BXRRytWo1tpKOLqz6kt2prQuQ3zWRLJd6vZNydcIeMCyWWeSZjH4BZ4rWz
qcEa3QBmxICxNfKbom3xAM5NFjQl/n6jj859DLOn1MtVmCnMaNX8gYwIjxTT8ZLQ0Gg0NqbdRdt5
no+V0kr2KopDZoK36VkZ7dLJ+IrpS9ht0nm3g36UUn4nASf6JDSRIhz4o3Sce5PrdxdL57vdWYep
w1gVNhMRP4UXBorrlZA7hnmj8svKS1M+ITp7/lbTr6JN7mazuTXqlAu2NOhZkuIgk4FlvIt6VI3Y
knvdzO4fVWqYqk9enN4rk0nQhSBNPfYKBHgAWfRhhlwWguYcmbrF6gzay5FQtexub7u1uzYmNgBy
Gvr16LQMxUsjmG3mxJanRCc11M+60Z7hkHzWjEZW/bIwHZfVaTThiUzYpo7Ey8llvWoui9ZhWbm2
js5XXwOJcCykfzk/9JQNbbasaiU72zasrvayxC3FvNXY6pJrlK8JJv5u07qM7H15dOSqDkPfbIab
qrUPZV/ZK60h08nlfg48MuB9S2SvRgbGE/7oo9fOpIVYzXMokldkxjkbhZCA4Aa5RogZbDMNngPB
nm5Un3Dge3rguDlj9SJ5ahg03qhu982ZLGI7hDmtKaZwvS5bKuTi92Qp6ZthAL+paGHL+6sOvtFG
b5pBhq/QuYk7rWSIWbbfzTHXCOutoXwZ2bSeRpZ0s+vmmyYTC0FfpbyziePBsnpQ0kanmc4+2Pfw
LplMH9zeUVZm3ZnHqqB0GIgH4KSegV/EWGeY+AcFYgMrBl+t2FRWkItWPaHMLBaVi5bNbDF101uX
OUHSFWsgMV+TvP9WOupHDqhmk3sKRI6pZRJrl7cNdC9cQGQ0FYgOAO8fbHUiu7XVvmKPCsxpbrpC
3Lu8c2wdvHFtGfZZtERtaiKQplVvWpNA3DxU9l4KxMwpXBVrMrEnCQjTlVBbfYU0KfOTge3LEON1
Kxtl1ViY87pSqoyLxTExARbyU6s2SarfFR25g8T53ZcWQUTFmAWVExqbyZgjv5/jd2vITxkalsDF
CwAuB2GjKy/SIndp1DLvNAjkiJO3sHfI3UCB4z2MOUuy1sIDHOlTvSYsBr1IFAZJk/FmFImfWUTK
IKVdqr3Mz3PnYtoNlsPuJHIl8ete7v8BtxJCv/92KwVvf+qx//GqXy4llUg+LiRk1iq/Lp65X1TY
4EFMCwKXZaB9tqwlGvSnS8kkGAOHHteWgYztpwbN+hedHgptj2ZkednfupWwsvz+VgICAmsERx8S
AxVhJb//k5gxS+lWbH3Qdl6VhHjiIuhv/Ve4rPOxZxJ2dzQy95uSxcdsIH8MQoVKIZoRFBDeo9Rd
Vg2VyaZQ24reoACuCVuenHg7j2GHcKkKYsU8W5LJsTaxvBDgeCmD4Gqx+KorZrfMGLXYOWaquO/d
7InQ+efO7lEWZY7LiGNO10RnIAzo1afZ0WBvjtfZHVnuN+dSH/yKI2YE1MOFcGLUmvEx1HaK0e1j
2ZzGCIdpzOovZk2p1N1XmDtPRtvczEq17SFndp23cQyVBoYDe66mQJPiDJP4ElIiK6ZxbtLkbnCN
XZuw8bdfB5ZmFKrugxybG8g+j1oaPseKFnTKeFNPBlY65xYn8VlGLLJCtNJV2q7SfH6a6/Ke/PHH
WfeYxyrHIR/uFC1JVnXkBUznvplt+NIO7rwmP+2GMeOpbsqzvmQnlBh4F/svDg5vANuUNPmxgjuA
NwPonsbcFZuenpF0LfMdZg7r1c5AZA2kXtzGQrC2D4VQcNUvNScdBeUp5BCGpbq29+IWZr2lipZd
mWf4QIfmjRN70bWQcq8qDTncXsi7XDUVC9v+qa2XbrIwGTiW8aqNi7dptuIgUrT+IFgG6kI5VWgO
A1MnHWUgDWILK2tlw9oiUwp1Wesq9gWXUHNlGADBCDUC+nDmjsYjDIaQdeA4r8E1CH38fxjU83OF
SwKZ9l/lSDeLE/h/1m9NmUOI/ZOX/jIkYl1k6TaFJ/LX38llSRMl5YC9z586gV1Y8QCD1R8q25/k
ssa/cJQsPA3WVixUrb8ZNLqcZ7/ZMhH5pnMMOhY+eA1z8e+3TNlUg9homXaqlhnYU/VouTIkonfA
F6v3F4wX8SVKRxDeWh6oHWBVo1KNq+jRPWTF3KMvqdbZKGxUm0t+Q6sLP5kVcRolJPNxNq27IVyR
5jfc2X3kR0xW70ue7lWejMWp7avq2WjOnpbx8VPnbyEGzQ3b+/pG7wRT85nKL0opijtQH5famz00
O2Fx72Q9DbgdraUWGlcwRtLvKAyPVpl4Rxulqq+BSycrsbYYsDCmLzGkfCDcPccuvBE66PxoCjvf
zVNYBIMmxxe1QQfaMl1O2ENxZlnY1PIuSAu7fJaSxJs6RpFh5OVhKqL+kcRFjmyFyNG+m7vHtiCy
rKywtVYu5SM4hfhRRPkG2E+QFzOjsKm8kfMFZwvgMLd+Q+ouNmmWBVo95X6RWO4JRW4cNL3ij+Ni
htZuDCN5xi8INcyOidYqhpNXnAY3k8eWEVHID+tJ7Rq0yraxT735oYQct1WsoYFnan5XRpd0T/46
tZ1b2MS0+lmOLIQ0MLi+8U7M47XPBm/r6Pcja+YkMgtfqFoLFrfFvl2e0rb3ntRjelE9S9xF/fTC
ZHr0CwYyW1xj3CToBXZekI3R4Lcj2CBPE/jnBu3OnIarQKt7U/S0FXaRQx7iW9DtE5wieKzIg7pS
AZbXqMVOkpN0aB0knb3ZpE9h72K4m8Ud842YClVDl2t+8jmqdyiCzZ1DGN5t4oX5JiyNhzZTwmbr
tCwu4/YWKp6+dqywYhGxnNkWuMZKJ/3G4s3xOy8OzEU4DMqp2ecTIFe4qz804Agw0rrfdRmnq1JZ
8ZF0hK+yVd8rBaisjGrjouJ1GkL4dLrwThbbqf3E/3SdE8Oz7VQ7Ohh6T5Wf1DnwrgRWJECpoEPD
sk4Hz7gzKoGqZihaYl+WIEM1O1XLL+QQHMNsSHYxyqejmuU89zjmvdY4FGFWHhzvOueOfoarrTO7
YP7U5hSuiZneZ0nlJzxZBxdv9WZM5cE1w/QuMdCN1659mQy2Q1os+M+W1IGmaHocOyLf4kEKt1Hd
jquKdepdGhUFnij6SWVQefuLnsQbbE7xrBAmUEoMiTr5hPzI104y10EaLu/p2K/SMJ0DnQ57ZUh7
8B1U3FqV9quHcRI9pIv43Qi7fN/ULOMsNp3CTZkiqY27dmslmJ2m2UEtHpPuWNeVc+eohVgX2vLt
Mx5dCaMk+lWp501nQvXrloe1Io17U2JT22BoZaE8ZO4xGbNnNTabO6/U70FsMUE1jLMeuU+xEpbH
fIw3jE4R4sLufwE9EDhNi96QE/jMZ+fZ6qKEkwvNvJbPl3nSuYABacsmSY8irGLfgJADgbqEaAoK
M+i7rMLWS4ZEr9JOqxK+JPwgPmgmx0RTVvQH6HJujCSpzyjdgrQR30yzrgkALNMDK6J2elQASXZm
0lNMoeCTTePuPaovRTVQxriEoVve/CQmUd06JoxLrVTX7TgNB6K50EODL5qFUzANK161MNyUthn6
tauUr0iiVlJ1/L42qnME0/jG9rDgVYlGeJdTxSdMfTY2LByjJusItnsWHgeF2ObOafSLmam3et2J
W3d0LsQZKmsYcxEHuD3c1F64KtzaeR+HeFuXFqlKKZlG4EtcbHBbsSmHNN3Lll6415g8D45DvFnh
eNu8SRJU00wTE11Jd2mlvFtpSfx5qN+WOfFBsdGfbdX2CHBocGNMVXmyG+MiZP+sSk5+7bvqxPpt
xdO/jdVEvWFXDO7cpYONGCiQyEzfGvWMY5LBDA9Nq6/N2nmL4HCiXZPhjdlohyYDTD5R1O36lNX5
mBbTyS4U3Zeq5fk2S8nCUae7OXbLb6k1mreOgWNEXShUdv+IKa7VARIwxQZcq6XwoTtmzYnX+4qq
s9dry/iE7ZrLQ52THdAseazd7CVPtPsomZSji32DPLTsoZEf1RDekhLqPqaK8lI4/bGqnHQzZ1iQ
M32ZpcS4K3SLH21RIHvg8G5u9LggoYwh8jzKb7MqvkmbPzkUReyzW/f22O+8dRRJ8puTLtkxpcg2
6J+ai6fsDdP4jMrYe6qj2trNanSXuHD8+8yN71NJagWyv+ukZjVoOf4RqXIuYmNTTEa40SqP6CSG
1LukFi+g4Mm9ywoSQ8lkXlM4s6uclTQYwqpnxJrqAZr7XYsJ4KHPe2ON6BGhilZ6t65B7BrjFt9p
CMW2Bks9eTV7/1Lp3AC4+7h1JgSvkVBH1CmkmjZSRDej4jHyLu1vOhJHbbB1aMXldEhS7W5OgIo3
pm1dzSWCahx9u9TYp4daCBdctwJu6mqj41yE8KF/6VK+FX2mPUntqA7CAws6XimM3mYRYwaQyBTN
rH2MBlQTK2ZG7QkQ7xa07FtsyvFQKuPL/zJ2HruRK222fZXGnROgN4OeJNMylfIllTQhytLbYDCC
fPpe1PnR/eOiL3AnQtU5kkpKE/GZvdfuRWJYTrT3B3hmgtzBG/636z8XCbLqSw4+I17KwDq4w4iA
UHAnSkl0bA2IAtMn3O/cFc0jppaRpKgf9mB6T5UyrUttDs4dzpPiWA7c1KzUMrwR6CRHZnm70cq7
164oYcGHXOvSZj7UkGp6xrPbXRlBkl3YZAyUqiUhzDY883bHL6N+IYCp0zW9DjotT5NFRus4gL+o
6mwfTDNx5kN3mtVInrenxiRwHjLpms/TdK9Fn11dq0jQtnUXuM4OQj7aJ52uRyv3xcY4F08iSq9E
4qR3XUrcbF411UmM5EvMbZ74A67RskctHNT1n2EdqAoMho5SPQ0Nr2y8sPo5M+XLJAzvdbQmDCsA
RVprAPWPhgUL/YQr5BNqTHsJp4WFlAfPOSJyL58s5JdhedNrgeBRjD0/TwUsajHxMc0hxEKe591c
Zc2ngoJzJNSGHFREgH5lm/dFzWu/68eWgak2jzzTDpkBHyECU47GToqDMwH/UCsmIehkrNxD+UD0
LcVjqe7SZbDOqSKnT+Cf37uMNsEz2PkdkXZ/5KhJ12GL5OfIZ5git1BdwvGRuLF3Vv3j1R1epsCg
Jz19lRGVSTDjaj2XTWsdTeJi96qSZD2ildEcbcb6aHnVr6Ck7Nik1YPbBzfc4sW+z/rxRCJ6vgui
j9Z7NnJXPbip+8PbdD3NejbDQWCYBa9g0YTraQquYV0fB5qfO5O1mVu37ASXv8xJ8rspzQi7y1Yu
hQDiQ7TtxEo0oteJWZks0gWgNU7faSynR1KAtHZVdshK+UjN2tw1PIqxH7DLcl3g9LlTVbFp5Phq
nMw61oH/1tgCUXnFPLvpNqg3TTS2AXO6VigSZgcWC8667LyEyzdXyOLk2OkrEJzijEW8OHmlemC6
RkGwAVrwRZMQxHt+4ifybQOcd2Kn4YgGu+c77Pu5HB56d4P5KwgQxXCp+sSSZXc2AYPtI2sxE2Ck
3VZhDyWaagqZdT+OPTBTf9bPRAG95ciMKkm6Zzg33J39+lxZ2041X24dY2mdaf3YZS3kmsK6CO06
F0NHB/wl897BG34Ymc8eZgG+Iq/b323LlZsaTnFXMSrYkevDKABZz/0UzqQv4i060XU1EHScgTaD
8b9AMBeX240iqvm9GUv38lUM8fNC79Honab+RRSSHFR8eA9r1iMoX6M7aKsKa2JfnEa7fwl0msWF
VRDqmNdPZBxtFAyV1HCrgPcgvTUqG/EVAdkHSyF1ad1liL+KMhUozVgH/U7q28Oun7CAmar5ZIWN
sMjAOT+QNgoB2Wz3gVFUd6THHFp6okMUIOUNWZEc8Ns4Z6lLTFhzdSiHTeelSW4YQb/t/Y6EepPb
EqlyerABBKpnJ1qs+zGge9r+ZzGHOT9Wv1ubfjm1iKd15DXPWWTw3uU4zn2w0R0oAAwjqJ4Hiu3N
47ZuqZ01VWV0MRwKX1lQUxujQyxN0511w6tywL1+yh37HEzhrY1GFfOdt5iR+RAuIbYN+TnbVFge
fcAOicGhdPVfpnLhXkTcqfVU/WJ1xRvS6edd0CO3KqvciFvXFzHjFGIh17EAqR1i86+rOR4MQNrR
DG0FRF0hJvu+6y30CN2QEyJi4MLhxiR4JSvhwIfZIRWgXL+OAZ46YirfSn9g37/a3n4iPPUysWIB
hIB0oWOB6o+Wi8Atu49U275affs9GqmAOwIqMgrGva0569NF51dX65fG9Gf892Z4qlMHhAHlCsHT
NQFjfXBuZPG6gvyFdjl2Ry8g44O4lnAfvPS+IOiyXzlFK9lwgfuM4/x0PAWGMZ/Yeb9H5WDdp1NQ
x6im1R4EgP3AMhkGpDMnDVKsfunfC9JyePkhaw5bpwAEvnwIwhehFCwd7M6UVEihS8YG6KSGokIB
GLq7OfLZtstVHFlR3DzbaBNPQQgc0g4Bul+Cr9HVtbXd4WIN3m8rHOeDTolz7DBd7tqiNs6a0SL3
qsB4NHd4EsX+q+EmWxfvwtS8LAvjeTVbfzvqlwPaj/KATPEXdmKebsTa3uCGdxPNZ5wLl18Oe+lZ
YrG8MxVvtaJhv6QWIzuOQ2DuQfewwqgwn3R54xwXG9tNPoZnIfr2zPgZ1y7LynPV2xR2iAtZMXQ3
Zp6JH1CtuKASjpYrmYsK71fh6Dg1h+5gq4xY4nRiz32KLJGd8orrfuLcBpI1/PC95ZdYLxN953kV
Orr1c1WQN9RGt4GNSa8rcSb50tnLwNHPlq19nsNFXZde0JZPHMI9jrHWXtObTudPOlc+oZ5TPDPT
e4gB4NLb3vQ4do9tQURCm08PKffRyd0GlUPP48LQ6iSdvbPW0d2q5iCefN6LnjfVR3OsrL0J1wYt
zvonJNlurwddUorThJVLeFdDQX31M9+5K8K1PhVBj4qO3pTbo30mouDigE96qGsmqDMD45MfVrjG
GnEZ23tNPNsdrjZ4ZW0qBmA3JEpbASlFYlkFxiQuv040xalJywKfAKGvUDC2bIbWuodJcjQivZ+a
PH3LLYGArq+OWUlOsuVQ7XSt8OJovQOocwJ8i2/YMaaTjMBY93VmHhCZ9vG0hGNMIr0ZW9sVqEeb
wKSo/OaPk77r8fbMS3Vm5/O4NNNybWrsxGUqXvFuNcKZYoa+3o2+41RObfg4afO5r6FIldFbpSm6
TD/0LzJLO2qihkMV4M8+KqvhvUt3vcWEmOtyRa2Mk60jBx7Qvj2fA9rMps3VxVjDJ6sR1mMXfs7o
FREIwh2ymqMlpujQrQ05pVwHIJ1I9ZPu1V1b47y0bG0b29cEBDOkClz2eJYqLot1k7TDt6JS3+vJ
EG9DuDIwaH9O5Ge/gB7/npYz4sk0//y6sUB8EPPQwsC2YNB1q/FtZhCzWv74klecL87o3CBskihJ
2s6JQ86+cKxQsj85aI/fcsfJ90uwV07E7zYu+Nuz5tQUs/2A6wmquEizE2GO7XRUZj4kfifOYWQB
CF6qHY2IeSaridifTN/b22+rDSRKa+sWLBDVdCIDcgDPdAo09V6mLJKD0gkDW0Y5N5Q2syYr++uv
wfJY1/4ZhbR41pSAYMobT/YfJYRyUCTMjhyG6TiTmU25sJna8m/pjubNIzLLa3KcJoAULqWFjC7S
NkMMQUi5f3AjGV4GjaDOL2ORDqcmx1EuAPVeC3jcSM3QJmd6CG5t1xnnIZQvXaT4+cfKvMzNeAYv
1J7QH6UMESHNuEte3GqF1LevSZHOFr3EkXbdn3LOdoN76T0lvlsi2rkWU00kCuuD2+j8XJcpJb4I
9mFnRDez+x3q6aQ1aY6jIJgZ9NdHbvBohcxnYoo94pS43R5FYz2ba4WDTdLNUNmox+EzdNfuqJxx
2I8O+6Y07e4g83jPeQ6bT5jv+Tw5n5nxHaopKmTHS1CBpBdCX7JrGdYJv4x68AVUMsseT24Zmsid
Oee5xY29YRgMYwBpGZslri+C+V5ZREjUimmuE1YvrRxOEeIpTs1eH3BlohPfhrWOEs8g8xlmhjN6
9jYPDmtptxBaWw4Ls30T1ZP2l5VRiv/LdnKVzEbQPrhuxzRSvRZo/h5cdcmYod9F3Mu2pVJElboh
5Q0TLMCSFv01wIO5IVkYu2jKvBFvedMG/CNlLROdGtCcFRt6I8uMc2FQW7dyyY5tlYZxP2O/sieR
Hb2eGOavicW8SpAJKmhORkE2K7aRCZuc0RzBCVXHvuiiU8Bbfe2YlSNdfOxwVJJpOiO1cO8luSdv
S0SlzP18r9zw1+x10QvAg+ilZ1+fAaSsQvdR+QaeKcuItpEzILfGvxhYKnCWpcNL7k07g+IOUWP1
LgBfJhyXRdwwZ3hiPhJ3uquwvOrmoqn1GOsjoesW59xWasuzcZLFWrKd4RAFXQzNKVT2h83UfFdK
n/TlqXj3g/4cVuPb4P1CkqK2CUe4x4D4FwJnyciS8UeYUTnnOrrAcRwSDFD3vq8obEVbP5WaOJl1
Im8MZO+lXtx7Sp3skplVfo7yHKPq3Im7tDYMMglsJq6D7V9mw46IC7QSL+tGZsEjVoq5HM8GMhk8
/tRH3BWlzS5CtOLnTA5nrAgi2KgejxrVwjE02h8h+TD5WmWnwu4SbhygxQZHsl2HbTLpYDnXox1X
NfeR7zNUyAJ1KrPgPjAHkcwkJUkT7nXJ2Liq0b47O6eKdIKaQCfmb10wGmwwF9vB3CdT4b2YjFCO
U5p+GujdD27HMSktrISUYjhPmLgafJLRlmYSIq0EkWTG46CQIMzmAxUIcXjuKEl6c4c4lAZLQFJ3
zp4cDiiOMPYRCk4sEYCRooyo/H35IDOqap0T8FZGC2Mj/EBOpxKZZQpVEdNtHjZmtyNSqTF/pK3Y
j5A+Tk7j3mNL8o5m6d8LIqpPah2e3NSm4a0RrJP+1uFj5+fccmz4fT167JoYRtPh8Y+6b4HsbqWb
WbEegK/gtTtTUnO4drYXW0SZIZxy8vjXxKGd+GIZknJZ1alZqssw4Kb5+pBRrlfIT/DOMRxUqhKH
JjvM/YQXaq7eu7H+3cMm5SzK7hrhT0kL+zZxvPpv0El4iplEQOuGAXOaFsQEzK9dtQQnpQc8KFzW
LI46oyIuO/pY0+95mTaJvWLO6NwUpWYgkmD7kFVLt8vyhVy8tu0T0wgFEA4SEokh4lTcPjDyBenM
/mVvRMucuF5X4cSZ7yooIMmibSRYufo55dF4zOzqJaAOiin3sEkt217C7S4uMOmsbRRNw0xHiNTg
qNrquV1If/NJotqLApit9FFm5d1x5vWerE1zR4IOEZAoUXTGi3eB/TiHACsqdShWKgyjjX5mQ/27
gwo49cHrWtZ/UtOA5jtnLG9YZHBL+rxWLouRi8RyMrwLufmWmrhYbHfsCDBcPr2cISWCGqrA+iS0
8ShwtFyWHnFzaOPvzBsjWUxCKtJMC8ZuPBFD+810VncvTRNlne/KJNSPvHK5AjvvBiyjTeDSNVDv
0ytC3jy2yn49MZ/gxZNlb7M729+6FchHXgVnj0OA6MdAHrO+S48ohb9FteOQdchwYBUdBul2+7fu
70gZMO+NUFYfYQeo06D68AJhJL3lveYkfR1NI3ASs13ebKX9g1lMUHQQ97PGyNA3K85smbnfFx+W
omUmmZW6e6diys3EagGNy/qEXsYPAV0Sh4VVPDtYnm5QQGQOSnVCGuWQqO3DIvrxSKv5/M/r0tYT
J6gDOMX1v7kFdvMlgGf325vexiKH6Zunu1UOP4LIUkwuIlhurf8QNqYXr7L6q81l70bTsvcNg1M4
Mn101uGFsbCxE2Lya0woE3sd1zn3bWAnBl+ck8fIwJHn2G+nYLuMY6foKIp4UcKHYYZ49CV9+y/K
FDJEDpEgnbEw3DtVu89MHLHe1UNiuNGP0O4/zWLmzdte54oC2H/R4nHN9Cc6TY6CoKfBUSj62/5d
/Arz+8by5YEAAVOU2W6WW1NtfxtN8QJKKjGIpU2X+bkP5b6x9T7nSohTZkG+lHvTIr9haKJv1Zgf
UiP8lvOpSZBbB0W4zhmBQ8/126uzWo240ffZMDgXthsyaXKbhxgGBEM6yUYIWQw65itlzgmi00mz
ZI79idDL8A59XnkYLMLQUfGjoNBWbLNJavae3UR7GlZzh5k6X7OM2R0+xK7Init7YBrRWsTZiOre
NXY2YePzUrxkjJ8oXzI3jrh2Mket+9yZWR2vhMsw0jATDIi7foGmLaT+XXosANtznwPYHkdGBkbL
b7+h8RenuQBJglblRaeMhsjyJ3V2sHQgOHXP1nb21Bl3lFm6iRyQ2HglXKzAQBCICd4vo/Y8K+7t
fhhok5zod5Mb4oBbkpq5sRVNPqMv5gMxqa00lVF0K/zgOwVxttfp8BByYCSyD4EHac86ZyMe9cJy
RFKnUHl8vt4qw2KzrPPeSM3yyg4FhXdnku3ZKDfZfGLHdSGfK3WxbiBRhChlnjKnS1YvTyE4UVbr
wN3CxzUOrwgZZLi89duXpZngwht4doTxRIWAS7pOH0zOn6/r7utDv53tblG2h9ILHwczv2o75/dL
OxQ3Lsp05LovuCE4YlOHghjw1H4G3MtZh5dqtekL6znBczVtP+2Q8rjnGeREp20eUC0MKF0p+rDQ
35sm3yLKkt6VD/20Vie/4o1edcuPUPVYy9ijTe1I07zd0ttP/vUnVf8Aq72F+GkMn53xnQVmF5tt
86afttR5nwe27/F1LRS+PeUM49kwje1WnOphjHvcAWUTPHNfqcM4Dc9RV0INrjG7eqZkCWDhzVyb
4BZpSwMHn9/toPkhM18TK47Qx8DjSo+HE8iKnJ/RVp14B+TdVowxHW8G9C2D8pSQOCtM0mBuL1hC
oIdYzkla6s3DZH/gOO92RKgzj4+qcTfWeDCaHr1RHYYlyK4yQwOacnXVCz4T4A9Jbdl/B9e7uB5z
TL06p697mwGWvBjih2Mar26hH/LtlRI66TXLfALh3GesLsUpEAFhKlO1Mi1jixDMy4MU2F5TcJCm
z3Ky90+uM7wtc5nx8kYmNumrw0To6pr5AYKb++yMmHZB/HIU+/qOZ3JCCKBes1k9UNk+0a2F+9Ab
x0MTgVB2i/avZ3FA0CvvI9NF9rXW7yHvpEH2C6XjclNuf57eK1Pal1UsQdwqh2cO2+/BNf8INVA9
daTkcNIhAZ0Z5mEdfBlpAXewWMYHJqJjimtBiPCc2uC5orrXiZL6VNeoeoNtMOcEmIur16E0ZExA
5xPnRMpYkTGGx2Y7ZLLdE/zdWJm4yFGlB1Hhv52Q8DG8bR67xjR5AxsnzNbpyatEfc6sIoiZ2BEc
bRhH2XjmxURZ3maCcUETfhR1WF1MiyImWB6I4RXXsQiZJqC4IXfzAf1hTQ4Yfmf5Iy3bnyZP8c4P
yZHxLCn26DecnZoHQLL2p1ESsDt5V7MHy2qWP1sLCUu3TKgFQkNdtIdqloZdxC2dddySE2DMzx1c
fjoei1tyV0aon93CsQ/cj9CB8KlxGWw+5tV5i4j8OFvyt2kZZ4Ts6cXp0cIMddwSn/5YYnzZT0E1
nqwmwPE5lK8BC9uzWCTRgKmVKO9P2qUGm7bs4tFLxiPy6zjq/o5diokErFsvmost8uozOg1RncUl
FeRZua17XB3vT4RW/FAKEeymZcf0Pr2CBStAROgwnguiIoXVHfgFsqPpMyBzYc4wXLb3LECJFIyC
dudqU+9S13/jRRC7KwOhXBC2IzdhQIa5ZtvMp1HzUKg6O9vTszkj3THGNl7wbmFOy3hTxa2Z/XAo
WLd1yi8/Ihnd5C+qDHZrgRe/nkIO3BSkTmWO/tHARcvr/hJ5UH3M0ILPu6iMSdMLMG/s9Ij2Y5QM
4l6W82MWCLxT9q6JrN+M771HFOOAawY0+ta0nzPctjD8ToUUDN3r+oGksB1ebX8vIAdyQAFs63ov
ppX+3shLX5u/01Exm3B0eSqiCE2S2fV4UttTymCI04oqxSxxV91CKyftJZgPwbpcwdlSgCDSN8YR
1JyLastxkY3ZbrfvxrTdk6WyxpMXTGfbCf7Mt/WgMf1hfUjxjUEljTu/ZFm+7om0ZoGGZNX9tMdX
J3DGi1RoFGD1EgAfEL9noP44mMKHCcCQq3OQuVTtE+KK8BhgMmKhjIShAV7jGlxH1YHhIx2Ut0oS
IzVtPF7heVoU+0YYDFXrXrW5dWsodLriVAZ1dsV2/D3Q/r7xZbTjFAwGki6oqTcat+0ws+DQMFyW
TWCVfkaKWD5z+8FQqOOeXJY7u03dcyGGIS5y+3fIPHgwr4an20OWV691P1jXpfNiZzA2cAtohcGg
SOaaC5DMIAfDgeHncVmOct9mwzNdHpe0CSqmhxJlucseo+NycWt0QKOwDp6hdnmj2hgj4FPDoGDv
FPPPYPRe1mmciTOHWdWXl/TBD52GoSlrI+aOgA3lxRzzY+jqMcHgdvAXE+2ybEmHqu1jmSq2h94G
sncElHceu8xSz8aYRXHOq6PHTsNitI4HHN+li843tdqLpwm8QGeJaD+wF8iu1i9Wv07s9yRCiJIU
0tXWj2ZZNnv9TIczJl6xxmhMQKqF6+dQzFuw8DAx9NLf/e6WRSSVBb37s1bOsA8VFjGJgyRuuvkD
8Q+85Skgxb6OriyCcZWPzSHkSwjY0c+AQkn5KQBmiu27KB8O00Bk+4CXB4ZQHTAKupSO0T/5DYnJ
9RQl7G/8vZsufzsz12en9W9OGAFtRIJL4Qg2y865eCtoOXaWP1Q4WtN0cs8SeV5Tz3cZhOud487D
ruXV2g89ud5Gx6KZvcU+W7l/N29Pjyk/M7KP0X4i5Wv91jenlVeUqyitlW1bx6LsemJouYs8kpLP
Cxi1nTajO3Rjzp6duD40q72bW/97Wy8yDoVE6KJfsga7q+ltnlVRsN1ttleDCNjC13bs4VUd1USM
kVm+St96D1kfNe7EfAWZaGhhcSdApEaHeESiQZvO6wMRmSOenDzMr6ypbgrh4Y5kmII8N+sa+qi7
oy7dk0R3LDNdXH13hKPv5edtij+RhnloZObEJfU/tKz9arExavCycT7k1QFd1uPQ1/BPtThidOzj
0B0xgFWDcRxg4zejygmQWT7Key3dXw681t3St9/6Cb+GOUefBcbuYw72qcnrBRmctY0hm2u90lq0
M0awTQ02g1koZEJmDZkLV4KtWT1yL0eswqjni7fUI3phcWxSHTPmnKYHu6jd3omaGpqzL9/YC1To
gynn6dr73zB0TRdzq9yDrbr++vDPXwMaJ39xIVwWfZeQ6VIx5Kg33uuGndxmCl8frP/+0//vf2uY
YuwmGs81qt19HjK4TTvcAnNp4qDR9JnkUFrHcAxfTFrCCqAVaqPplI6VSspyUsnXn/L//tPXX/+3
//b1Kf/zFf/bp7guKS5Me8jTc62KkwZTaSnG/AHnNg5Ra9WYeiaUeUu67g3BeAYTKkwtPNcKl7TM
xoeiBIVBXHWwwxR2BRDPdMQ326OLHDn2+Sx3RmY6OUBYCGworT4J7ZmB4MLaVU5MC9Vc3vHKO3HE
2ke9UJPIKNcPQKN2+LTcPdBRHH7QbULBmMNjVbtzZXHN+P+4BOURHUss1zPDtvTz06qs6ObWfzkz
CbcwOeakgBHiD9PJcyNwEdaPrHQkvHuR7cnK8YjZ5JR0AkoouWP4DrkqtT9Cjo5L6u+JcCAvMX3E
5BCcAlr4bYltSPXT7sHPp8W0tyaWoH7AXGhRCw/PwxiVDjNDck7nGUURLoSdvVWUfmq8yeavKaLm
RVkfk7X8Ybia71cz/Qay1WeovpwcMfWgfytiRjS6mnW03XgMT1Uv3WOq6OyV7n6vS3mjduEaNMUb
emjm0itHwRLW95QL4NoRXubkpRwKSz6ThxjOxjMqIod8V++bGv0TXTpRqJY5xrZd/BIMKHblUuij
joBX2mP42ho5vGKllr0liymmX35w1uYjlOpFNxQOpKpR8TRRjabHZdgCsSjMpXMq1tVLHCzvySxD
L3G78LXGLkHNS0enGz1t4yJS2/QSQu8a72spjWSIAolPGu4JPMTB4407DXzDDg910umSQdZTxgR2
CKbx2ukHm101CPuDHImSs2ExN1W+W7qoPeS6eVoX+UKir2C9bs/7cQ5WXH2aGFhYertwaYaD8Fr3
UrJuqQrGqSra+I7wAxg3n9umWU7RCEePUOJLmEf1dYm6w1Q16uxuPd6Mj4P9wZTG2YhWIup4LKys
sa9usL7TKO7WKbIOWaTg06Vj0pPJ2664dL5+fwvHpx8wQtHmPdtyJpmLT+fdvJNC/uhp57FU6N7y
NzdFBRSavYksgcEyQ+lnSdQUgLjhx9c3irw7x+d3MhQj5xwSwMTMYM5H/4xug1DhlVksZPAMNV+Y
JpOBDVFH6jzk83wGmHMC1rOwtALG03TXCl42NtqyLZOukfy7MzN9kiizwI8NL8XlDsZlpR5G40r3
X0VHiryPMacXdAOBOpVwhKWnfKsrvSuLW+hZ75P22tiJ0h+it+4cfPZTHXysbf1djzOaRt2dA5V+
OGmessUu5csMAdJczTyReUNXw8rMdVwkz/XAqCj9bg14awOnZLgPALDq+4WNP/OouTSqQ1qmPLFm
buIpHP6YTXAa86p8lggZduaAG1/VJ1W5xXObs9mSKwRQHGc3o6Zep304YGOG0eeF5UNTlWfTSHNi
ft38Vk5AkXVbYEdtmLoo967TkXGWxcjGEZ4WAGsPjXcOlc6infkBBqK6a9cfLfqiZQieNaOcjI1j
j6jjKJb8qd66KBWQRGjjdhxDNg/sHcs9C7XXcEuIqGUZxGLbOnQ9hEzcB6i5ZHuwwnpJ7O3lN3mM
6iPBw561MKBZL19zu6e+r5humVSkcUqdcUpbcZ9nPnurvnwv+57UUFWCHtsm+WswcYs1SwbuUkFF
9Sy/iSGKs6bx2ToshC9jXonXJYpoaYhHNtHMsNtRH3NU6MSRWv3zIeqxcSubuUFfjLfWmueTxSYi
dBAF1cOlrdcySSd781/3T7PlXaZtofH1QfYIVDyTzPY5TN90pXGshWO/C7xCHsAX/G7I94jDCKnz
INcrJVNXbTdINe2xWr2CCm12OCfUbmZgnfiS4FV3+7B2MyPCic2ixOqXWHbxtvZ8boOHm8LfluQj
bU3P+NsuqpbhKl+DAoDGajvTfNP+Sx4gbtXCfXNHvSt4aZyjgdAjch9vIfqmj75ng9cjNGtT/T5u
G+yOsKC9qarfyKXyyxz25sMsUL8H0mUYWBhv6BWJqypAkasp1oar6C5Im1LCF9yamj2AWXZxHxJp
yzguv67G34V5PZ0EdHNR+A/RxEq7Xa3xT9gf2hgwVha7Cmew7XxXkkWxaSLG8lRYPFQujOPAqU8o
MlrqMnkjNOUyRm33nAbeTy2cFwhY64fRddcoUPpP4xS36FF5a/4xNuy0V8MjHy/rUSeHpdiztXuz
c3iWq6eOc8kEf8EysOYsUSO7L77bMvqAYzX+XsR7kHdx3ZqP2QSnpBDK27ut8zcNEKMSV2vsyjEs
D+ls0xu2CLYcvCh7K89yZt7pn2p10VFPK4AcZIBZt7a3JUAiOlpr9AKTildwN4afID+mXjxOpvfs
D4Xce2NWXUQYQiMdvjGjYnFVb26BZj2ijPvhlY+uLvLXdrQYoxce0U+h5J3ByRYM5Q+7HrOrl6Km
nCZHHqmy+4uXISqpuu6lQyMHkFSgLxYm7ezwrJCNEhk5/wqnEJMi+97XPu+TksqWyN9nf5HTXWqt
h2Gx2qQsrBStAMIurJ8ZDhgLUxTPo58HmAtDZrD28idy6rs2K0F/KfevPeSXcETyTfPuHwvFAxVJ
x3uQoWVdOArlCdty+YLniz4XT9MfLwNUaPTnlQqXHNRVXrPcwzEjrcfRQ6qtR9aKJEPc2bKD+qmI
tcmd9VH6Mj9BuGIEzLjthgX9aUIujXxZ4AcdKrarJcPUeTRDznRpfQhgtceisoMk2NYUXx8aesKk
elf51N/aquxvzUiYcdgzXf3nrwzyT2ICEepQqyzuqh7DKf9OlJlHl8aGR/b2cxmm0JmjGT0VXJpD
bQybTSQy4iqfQOl5AeedBgOqpzGuUpAGUyC+B8Fa3WXe9pj3TG7cynLvhsr45kk7AkeMJnLK/5LU
u12RyxvroJkedUUP6aKW9lgHy5R1EyUrWbB9hci1XhORe0QbogdwapUU+VI9hi/Kr5AQeW0bh51E
IBFBqR5b6yAUckzMG5TEtsssqcc0A+hAnA0Iu8CZjX/hvsgczP50j//wJ/8D895jV7ST+M//4/3f
WEoMg3Azt4SPjS/lblHB/25bBrZSF4Rnl2ffBnEbrsK+zZOZFPYUPfFwHSWzqaRyHVDizG0OvrsI
bnE2/2uLKYVSCjF7vRQ1ipbyDUMvBW5T20mB+faMfKVp4tBvqp3qnX9ZoZw6t+NuJIIx68XZ10WZ
LJTwKAZq/3WqI4H3Q1qYpdHhd5aNz98y1wPzJEhDffpRt466CSIxL7Z0Hvp0zW7/8yFsWlKwMvkK
MpK9lkudNKOAA27ur+zXRH/oTetZBlH6DzXt//kwfuWQ/Dvdk4cxdCz2XW4QOjyUGyz+39zfKscQ
AQYqO08q+N3PmfUhx/K/yDuv5bqRNUu/y9xDASSQSCBipiNme5pt6EndIEiKgvceTz8fWKVDmarq
0WVHRffFOUe1S25n5m/W+hbxS2bkLDDd2Ew4uvBxeizGGs2PSqASGIN5jdpRIgdJ8rPWSsxr9q/1
UVnTBs0CBhYLOGHIsPuGg4sZp1W3+lhrhOdVC/Ql/mmIgdDyZ1+viUd4TYyqPkccHFwJbIhILoLP
SZWgKRoISjXCIVtZOVlgXNGKDHNIuMpozxzggJAQ0akJfHpWXRLBh0VTMYu5dyz259/Z+v/i62Zi
u/3Zn0qkIyUgeYs2oSOzf/W7P6fMbL08QBewawVYjYwAcxsuRdHn/HYjWFXpDKRCcdRcdDpSVpjJ
xHToxHe1Idiu8eBlrn4ZsKFQI4igdwNbJJtyBwLdXafsG5dfZJH6R2ddDtN4lw7hYdDTYeXFaBk1
L33SIoIutN66QMPzz783ft6//M3Z/AZt5MKG9VMiQDbiYs0gm+5GO0nOkJcyPt30uRl+DooaC6Sf
lxwl/iLYXoHaLmvSNrRQe4EtzNuVUwRXSbGzIpkQLcmylf3p7EVv9bvKlf1KVSmjbr5W4BhzxCts
bI++qUjU+s9/Ir76QGhCcxjbKFtoIm5eO65IWx+zB7vxqo2zRfwznOPKNQ5TXmcrEq7VE+BLAmPZ
xmWDfq830VMouvCO6qbdJjhgiHJtxXWCEBx6QIcQsx9tJOraA1Mf+warRLxoo9BaV/Qcyzx3jWXJ
3gTIvH1mmytOjnEhglPlEL5d+oZzw6N3jrQcbEyZBJeFawcHmlkuBA8vZRUN3kVdZg9dbXdvHcsu
z2o+5+1I4oCNFFTI66ZDxxArWQIYb6ybgln+tkiH7NyhoV6BWcGmWyLnU21nP5ZDfjSqSb5xtQL5
770L2x4w1IYetPrW8W8jz0rWLTlIB2x2OC60dIfpkpARTIZRsOHdrjaThkWl39RTUT9he0M4Xp9x
dvHv9m5zKeChZVbHc9RXxWOmbJdU0PEOLZZ1HgUy3TVmNW5lgxSzi4RCWQWaNKHMCGDsPf3zt9Cc
ORM/3kRSKQKYTFeQcWH8fMJY8IREtTnJzmVgutORLpuMNveqe0g6cQqVR0SLT5wmw0RxAQg7Z+QX
+zsk9HT8Tt+sq3nnGOriJZXMeS12d1ulsyfXR8mmdxxXk4u9Q9Q4BdpZVT81JIE2gIXSGWlbV87a
zF3m917whLAN0QbT0aWVTnu94Z9MnF7uUnaV/81ve36nfvxto6bA9WabFsmw+ox//v5i0STw/lYo
0ixUfgzjURzFGPoQeLTw4Mv2Is0EyRl+dpsLF5l8p7e3dDRHrSckb6zq9lRbeCw7Jdj+SH+veYk9
DytNZDJ4losO9Td0PZSDsxAS7KmB+29hzlnKfhTdcYiKFRhdPa7qg20G5yKXO8bREGEGwIeVKiWY
dLLcS7mt2X/NuaP/3R+B8UtYFvJKaRNIaeP3YPpozAzJ7y5X1ekEsVZlsOtE0R3HxHf2UGnYl4lH
WzXN1eTbwXnph6/KQrthhcVDH3ownQDfgVNjIJe6xRMA/aYzbhII73uVCvM2JW1oUZJ84PCIXMiy
6h7c8MlDpnDq+u6lHHR9J8oRn5tm6fdmpFYoUjhpdYRfZcyPjekh32eNHeTJfcbi7TiF1YPmN5B+
vDg6r7WqvQGc5QFAuW2ZCK3KdCh2bZufkkLvjxUr5MvBHz87et0hM003dTGiDpf2fT1G4GqFZR25
Lx8TQo9WtjD4mjZhc41+yLyENXAQZStpDVPsIb22b3EVLSffkuuwn4pjzapm1Yxi/64t4c4+qxNa
/k4fHOQh5XRdSOPaaYv8oi2ra9NsnMsBQdR1SjNYuBOKY/SSW3atF1pe4DlpsnDrtBI3xeRs28m9
aPSSVUGvh1x5zpUk+3erAbBaBo0PyENDkIpN0S8sFOiqcC6FrDVES8hfBqRlG+YfX9To6mvc1PEC
C1i27NvEOyWpcWTikGyjLqnWhYOSuM78ah3SvpP8mJarwVGI7wwNgJKIs5Metjskp8j3Qvpyb2LY
LQ0/JoCzjy7QdEMW0Riay8Dx1kZpiK3VxFwF9xRX1H8JEz0twPhcv0ijYPI1jUi5pu5JV2YNiRsR
Cs5Iar8Wg2ORQVLoIvqGagq+lok4odvcG0i24HMxHCXdiTwUmP0lbdepSlrSJJQ018PIwCUktJzV
eoYWUKG2GEP9Fp95fpUEQ7jsbT4ZeDa1+uTcoxRbEBIUrVGY2pdpO7LgKTzt7p9vFkP8TPbhWBHb
YhFSaBmW7Vo/lciBoTEY6pS2ZZsK3Yvd0TFRnrdE0S0WIzmnHU30NURnbzUadbIulJWd94HxucuU
Dz2BwZ1GHsI+d93hVGsiOGtdnrU0cG+l64S7CmTBplO9sTNN+wG46nIoxnQvc1kfm1FDuld2NQEz
SXNwCachCTanwTsNQRyc5nXfFQUp3gpDqHWYofr1WM47uoi2TteQitx0fM5nnDKoLOEVMuO9nSN+
6GQPNQ6r9B7WJmvzHOx86ubPrM2ZVMOSboOgQN3P9zGUhjqIpCnhj4X1JuiBYo0G1u10bB7SXqhT
T7SEidts9ult0uA81dr6VY31WeiivjW0kxAvjC+6nZazLc+jzUQRcQC7k/GS9P0OeAj6Ezta9VzI
677jZ/GFLdlLedPOtP1Tk0VIbmjBWM2NZ3Av5OrdBy8Vua6M9RKvINyHic0CXD6QcLPexyMZLpp1
lU1orii8zfNAutgBGwUYPWQjnfquubawYS8mIsSO4OC2E8KkS3SYS4hLFBsYvaoEZUyPNenCznx9
g4x9FrXNSgjE1ehd5G2E84bJl5OuOg8tZhQTnQS4rDyE6EEmsBVry8eMh0oy8qP01Y0RBrhw/I3K
ExdC4VV8/8bOAcsfTV39ThN+zQsWl37Q/PRf/2v7lh+e07f6f/8Qy/xfP/5XPvTnv3T13Dz/8F/W
73HuV+1bNV6/1Si4v8GL53/y//cH/wyFvx2Lt//zv56/pCHtSt1U4WvD6/z2c2A8hczfcys3eVWP
TfDXH/tAhOk/R5r+GdTs6ASh2hYnWCoqc8HP9Q1bSaKpTdAOAgkms8Y7V+wjAcJVAsacMAzbZiYv
fgfhPEeZ/VChAJVz6LMVqBgLlvR79/Dd65x3aAxLNmB8S9NALltDRedItx5tlAawQuDIXgdVibTQ
cgY6g8zz0JHobriqTH2aHoJEB5BeKZDHbHCkOkN7k8ALHFybKB9e/APCLzrHTLFBZstlj7BmTPeY
hsM+9rqEvZLL1t2bIZFhsw3SBDarKJG81UUHHnKSK59B9CYO4ClSF0erzB7NDV5yCgJbsErUjWWX
h/yMHuTZil/PRoSutokj7wZiDqI2Pbpqx9YmNyKkNdDCpdJIBkTkeZQWycT8g8zh8HDMy0aiLUST
f7Ed3N9W4Bz1xJl7YpKk6p6pW5TH/4oYPZPH6O9PxXX+8vaXYPP5Y9+YVc4nh1rQVFTGZNWZ1gc4
TxFfDkfNmmsiZ+5YOZbfjoX1CRgVRZ8N64pq0uLb/O1YWJ/g8KHcMQwx5/IRsfftcjj9UZH/cRl9
3FXfD6CEnJFU31fujjSly7lE22xDwXr/8e/OhRwSp9JKidXb1S4iazzrAZITfnAO8nM7yvAIYurC
wuiSpNmBkT6pDNahRjq0GGnsRye9GBq5txSPcZ4Xh6KMLrCp80B107Yv5Bdfrw5e4G4LtAJRX240
kV5rJmYvWKdKaVcqs66TOt3HDVLzsLsvIv26D+hbwX0z9d3h/VXIQLy1zJHYTOyhMtmfE49A6CTD
CJZgl4PwFmZYnVQdLMPWIf+jOIZO/dLwzDpwopQoNp1TnvV1igTWy1dDzekorOHCEeEabSbKtqxd
xmO3BzS+SXxyvmz9lp7ywcqKV2iXy6wathrZabHjIKrjXxVo5zE7ojCRXzAlX4w9ns1C3AQNEaid
3CDg23lWcNM5tMk5BOW20VcCQZ0dAY/BzrKAQb/H2duxMeA/GBRTzIZfCbs6CcbB1fjeLb/RdJ3X
ZfMatsYZHjb0KOaqClqiYNVS5t3S5uJeAA/4imzm3Brlxpxqlspd3C7LTpz7HhidqcvieQuC6EhG
7m4cinMs50BAi0vBPssymFWMJkDZXne+EIp69IZ447nsVvIp+Cy04As9FlwZKB7Ir5BRhEwVk/zk
2IaJIyeRa4v1hM7FQrEjIC0ZX9NojmhD55xLMPOp7A5eFV2XWUzwYoJtjDJj5cHgWBBBy3jZObUe
JmZQGduQzAumGbSPIxE2yJB7sBLeoG3tpuDfVPKPN90ZEAf2gmF8W1Qd6EFd3WZ1j08cAroXOycb
sRdhJSn/yoZYOAIErqdgCleDn2hnlkNsmlmUV7pnnY1uA6GRAFp7YtsaHTHIkTSbe/sw8BoicvQJ
0EBgwwW0z5RDgYTmbIsxdGV1xclJtHs7E0eEKc2O+ArWz777pVHhZ4d4VXL0hiu8w/d4oz+PotHO
UJ/d9aVxHdQRAlIPnxBmfX2hYuEQf1oRIquXWNsFojvDRzGd4d2WVdE0Z16r6flZwj0TnGoMWOZJ
Bze4IqZxE+vEgtF0hXa28U2SlP2AKI+GGz6K05UbCApJkjMyTJxGmV9NobVwCCpLQRN2mrEqhL0a
UIub7bTUW7LyWl3jS9qsM8kvKp4OoaeQXNGWE3/iJ+24ToYuHBe9o6riIrAS4d6ByEiN3UQcw3Rl
S2dSi39DRWVz0//92/F/YbQQIJ+Nv9ZU8wc/aipXZ4jEGhlFNFcCD8u3msr4RLXlmrREwnTADX73
etifoITrhuuYtsVnne9eD/sTMxpzhoib3Przm/M7r4fOT/Lj68HuAhkVqEN+ImYf/NK/n3m0g9At
xIBqhxbjWMbOA/tlvGrU7UG0KtRobjU9aC8U37oBfSjHf7Q3DdbyGyiJ4qKexl2Fr32I47WPXr+x
B8yN2qMh62uDsZGiW0pL8J5k/oGFIwFHbGd+nUxxb8VFsuMP6KHoEi46RCSyqI8JfBldDGfSIAMm
lVio/PHJ0GNAbVN17WRGzPh2liH6N2XcnHWzu7dusn2ZJi9OFDZvXcVOt0Erq4GCWrF2uGPSZ20r
PH/MBKr20FhuvDEKhuFWcdR160KIzxGxXX4S3YR9sK0DIgS8MjCejcf8LbCn/lZw4V00jGwydLDh
M6GLXPdtvx4C01xUrn8MCHOnQsx3Dtd5PBBLGK6z/kvvH8Pm2IZq7dLlbYrSzs6LwdhjVRuXrHOz
G2021ZVNuCanZ5ZWtAhSOyf294kq7TkgMzz50EmR/2aBdufkM2Zr0J7G1NAeYENjJlejjz6RdwVf
kOodFNJ1OrfV1xNipQgvSxHGi9hOz2FZ85NrZIM5VMeQuhDmmHJVtu2pKzD2SLXtSODN6nrdKFhq
HbqO3C9f+VvAXYRiogb70TkWGJu+2cl+uFZw3/i1XQ7x+OKyq4YAh/hP7u2hvpklEL7NTpyHzq3u
suh+lowFXsZ7jR2gbtB/0bdyMxEdfK4zMxKAEWu8K0EbEY2e37SRscjFk6qPUc1oBCokN9QRwsxj
niLIGEwUA8o4M6NgH+v9hV5Zt4ltpAv+EOBH+kuCLZb1BJsTybHHb6El3cNVT5aq2BaY13FfM+TB
ID01X1jXRMtYkwSqXEbFV0bNq5Rk6lgxBi7zs9FqDoaVsr0ntbEFI+jIhWE1d2M/7HzYAKqx8VQX
h6ioz+BKPfwLbk8594h/f3senutfm9H3z3wru9UnOkfdAT7t2rprznkIf16cRA1xJ1I+Wwb3oPVD
oBDdqI5smKvWcv6orf9TdstPTKHoUNnfONzG1Mm/cXH+1VRLd22ETqA20NMr+dNUS4QNqwkR1rOz
7KKrs2jJNkJbTgVR6UibRgeCOeNGZwHbRnkHQn9S0JQE6PmWOR4KD0+Mh236wddtsIxKamIfx7jt
fJXq8AcHQgKTqICA2FicWUZksBQGYq940l/6nJic0HudAhd6h5cinJ/dD2NGDGwCZBmHjvE2DiED
zLQ/NGE8LSvLPRmiffZbBEbs13ei9m7TIX2LUDWvCQE4KzPvHpfNQ+r5byPnfqWbfspAE393b0jI
YPlbhc2XET0BcTnptIxnmkOdWo8salDiIamsS5Ngz7ZZ4ml6iNtoVbH1WFR26nPXm/2S9yVaT3r1
OkQAskTHQkwP+3pBWMquyyYcAVNGnC9jvwUysfspss2dboVba8wOzEF3Rd5ez35HQp1B7vMMPLr4
t5FUgoEejOKs8OKrSKK414iuKNrgKbKdr1prEzPEOhnI43BR5OVTPmg4wh37yWsjaFrGUBU9jgLT
85kOhtSZJzOVRbBip0x02xzQVA8S8pXqlxDHWcan9QbsxLNthPdtpV/4Sfxa2tyPQ/wS+dVNXegP
luShQrHP3IpAvUbAEJswuRIYoxZjZEGwS/srWTQrBLCCH6vwIWXrWLpb3TeLf0P9JfV/7N1345e3
X0qv9898u0E48JKoek66aSMs0D9iWJT9yTadmYOvIM3r7CY/Gnc+pVNWMenSyTWl3/9o3OUnnUEX
/xtdPV0/v77fuUHs+Yb4vnF/1zxAz6eB52YS70T87xp3FWl4iTs0DxpjfM/M37A/IuoZMggwHT4e
RM+AHm7bVGPF36mkqUhPxGXBgpnEJBCtlpOc+emg1oamX7Ss5MY7YhrM7KtNrmNKJrOBw90bIzZY
TJLzWD81pf5SWTprSTqGocxOkz5epRmeqriMrWc70wq1BsWt0wNnt41h3osuMW4qmcgtjKyQgKF+
75sQwnKzWzeT/2yZwDLxeWEDwDHoo3umdTGvQWiGHJYq2vSgjLxhQMdmRf0iaa0bcJYhYjQ7JBeq
u4oN537ALzF22CTkTEbJwse6wscwmu5b7kAQ8jxrL7VsTxfpMZdD/zJpJaAbH7BPGF6MjrvJnOpg
JubSS7WVi9U6b6y7sWjQZ7R3LrJUO2+37eBcOp7FhA6jTTT6p1qA2dFqOv8BeVekTWD/rPMs44gW
LlbOzEC1Uw/e0yhJKvNDNKnovlG7W/IEnemB0OwLhEsWDrIwetBbW6cpJsntTI6ZLf2FwrpsnY9s
OTG0dLW3L9EQkkvodcdCI4UT6NN9nOR0x8AvvdqGZV8bF2WLEDMEkRO4X0iQHZdBS1Cs5TtfzILi
MjLzsyq2QXF4XKsTe4G6HN+USZY14xI8MLH+YqGoNGZtVdEKTBlERC3TkAqLcc6Nn9dfRdwKSGHm
y0ji7gVM1PLSCkuK+6JS9RKaos4ShGFjVyGQiUYIXbheR3iX7OWYLxrnSU69jOoR/zRCi1U5ul91
PzO2EX3Alc9NeZwqjwXvFAZDtxBVBLYMNlRy48FXWRrlaGLpaN38C7QDn4VIGqUu3qbeNPcDbsVq
25lxr+3+DXWU/Mc66oE6Ksz8Js9+vQvnT367C+kaJaNLm1qKUd97yfStmrJB6FNNEbaoO/KPQuvb
ENP+pDO/54Yiz8ow1Jzc+G2IKSnPuAOVo88zR1391hDT+bkLdQ3B7FIJl6moI5mp/tiFunXbRhUD
w13q1pa10UdNXBitreKtVRtb3KMROlnN2rADZTs/1IStFtKB8BcRnZ5UeEkSq3mTZu6cfLtMnxTK
rXN2eM6KeKWwWdh1g66gJ7Bi5XQW/AuWlftsCLRVyXWzFVi/zipnRF8iac0Wnt4G16Xo4k3pa3Mz
gQlubAlZK0Mb53bdg/Ezx/wyNIZxjbjTP0cz4iLItZGwtJiD1FVdJ09eqC1Sr71MIHzGNQQpw1lx
d8N4KzaEmGyYT27T2LxiNqDgi2PMNn1gj5kgamSiMdIS8zJRzNXoGz2smFAy+ShXZYEIxpqoaDTh
FBvHJnK3afJXVnxf4bsRURX0HONBEaxqF+VyVNWL6cJxN0trN6TJZx0K0qHodIQFZplZD3Se6AQ1
T0Mf67Yiu/r9g3ebp/z/j/uz99fzPyu4/4E7N+cfK5TVc/VrhUIy0sepnOMwXIu/Eqmz3OKv+aPH
4ejxY7qtI0Z5n/N8VCj0OKSmEsrDiTbU+0jp41SCFSRL1bHZSdA1/d6p5Ff2U4HyvrinzaGnYk7F
L+/72dAQZVOJDELbsnlSW6+p8iNDggopsbB4XKBUj4dSy4yj76juqnFD6E0e3mQsAHeJgVZSds0z
3Ut70ZMOvPGUVuIdHHxTbgRJMBErrMpk+l05XbzsGjneEKLgbnp06Az0pxzDhQHKkmbA9Epr0efC
OHayaVZ+X6I68ju/YYKK3HUhsHc4Vy6YpP6kZQTWkFjdTBLfcwPFp8v4sRq57MLxpumsRBO6klaB
BLD0IBGXTbfUhIFXKFTuuahqSAM9thIDtNoKLVj4lsasMFiAk3I8tSWiKIGcNMR28ZDxJ7es9SJd
Q31u1yXA6i3qQh9cdAdzoMwY8ZOALm9JWWdnMCXsjBbo0IHPU9DF+yBtzCXpEnQ9qGrvAzur7gof
hVVN7VUaxW1c8gH5XpfV3mg9J3OxNlK1JXVCm2Kcl3M5V1PXZdR3AxEGZ7SgGvaC3ryS73WgsJD1
aVwK6Ft+/2D/D9yU8/r8/WRi1RaE2PzymvJofpxbZhNM6ukE9Pnle1+Hf3tNmU3oOi+YFIwG5qHF
t7eUuCzWxaywdUaK82H/eEutueVwET677/Fbv7cQxK37y7E1hWRozE3AjARZ9Y/Hlp1CHZrdxOYt
16c7A9ZCblbY9CfijB1B8mHp4i9Acz8tuoCBv/LeIo+gjsI2x3Oy2DEOgWP1VL4v+3ZLA3DbD+2T
G7awkwvXXTUq28LRhKGbPfpDy0OprUxrwPCTDdeycY79II8UczfDIHe9hOwaWrukMjGEZC8EVVx3
yHq82QxE7OTCmJq3IhdrwhCewkGee0XJspxXC7DcXrl4qELvfJDpAZ497Xk+tOrNyxwcVWGPI5l8
xmXkyObQTPi1LmXaNRO6Si2CxZbbj7gaQ0LyqMOvkxSp5pAgRiTwnCFxsMVs7NzHQQ3fJdX68TYS
QnUILxE8LKfQzlemmT4aXfYUa8wYUbZIOq1J4aPUj6Ay9HkvSOCgxUXTNzPiTUfIalMtLUa3RNYv
umzZTYW3jDT5BawBvOc8fBlI3URay7nXte7omilTECJZ8aHguK4A+hAWDXNWXqMf9c994l6wk7bl
iQzqaF935nhXYtmYtnaFTHzBCjo4ZLBuFilX4Fs1l+xrUczR1fWcYv0vOPDvQs6/P/CXYfaaJ7+e
+PeP/Vk/o3/hMFHuCgySZENxrj+2OLTvPHu6lIQI6TbXxMeRl2z3+YgjUA/w4Y8jz8uv6xw2HnIK
Xvmb4Xk6P/8PLzUrboHIgHvHxUDBHufHI+81rT5HyoidlWm3WTjv2I0Ahh1a91yL7uIOuJpTewD0
q6UUbJOHoruq4pHIG+8SShvUFP3e8cHzWsNlHcnPQ27dun166Cbwz2X4XNfFvZ/HK08Lj0NRPSOU
W7dBtC2Z6y3DfmQHnJI0Uzx7AGbyQFn4d/1LLUDk0PdXcWW/FamzIIgO23XXLt20OotxdJdVv/Ec
BV8qn6h5J7hsdhPxVdYuAHfwUDrLwW2w8MXjpU80OxrieXmRmckz3jXXW4MKxE7b2fcF8QbU87AR
BWXyZHQMOmJtk6chj2kXCNLkGpsFdDLU54UbL94TPGtrXY+g4q0SjsGqAtMDW2bM740IKn0G7mXf
YLTaaG10F+LAO5lTnABdneKeEEujPuHtg2gy6NGhSsVTWA4LXKQ+IBtd1pdW/Zy/5935sOh27RyC
RzYpy25PNI95/zklJC+FWhUGpObhVSFAL38P0yPnNbmI5oQ9VeoD4C8TW+K/4BxbLi/d35/j1XMX
fvkrNc/75z4Osk5gnGnPKm9qZ97a/5xk/ZPFYoC9gTGXu9TeHyf5vRFWNqM/LAECaPL3J5ni3WSz
y1iMStmxfmsoOM84fz7J3C/WvN11CFUyftrHVgr9RhwATGBcPOyxmeMHsFjtK43UibW0yyB9YaVW
om2ocOjshcrClRjMimoaxZt8176F7zq4Jojja4ZoJGmNcfvYzYI5ELi+hLsbQzfNA4EX2s1XdR7p
UDwETLGs3xOjWaKvb+8a05eHBKo964zma29lh7QDqloKSAr5YNcIQLR6owq/WU9VhiXFwIue6eRM
mrYWrYU5fq3acO91gb2n4QwWVetnxDkGz3nvPmL+B5SShcESzhtRKZZbsJfo/TNyZ/e2BGDvgw2p
ASgucT0BToSa2uXU/antJwRQxq8zBAbLIp2A4I9jIF8a8k0CsD3F0GqbZHf4Pc08FYO/jKfC3uSd
N8DLMdkFurp4gdkpV101ELLU+C+6o6cziD7fmBpQRC22b42BvbFXtVeeVl5ESqt3oiIpBD83FKGu
Io8nmzBg4SWg/TaGTaNS5HzGLLtOEFMXBmy7MskEtRfYgs1g4FBipZhcpRUNvK0RiEJms4l8PH2Y
4f3LMlcY7BsoS6Puwo1IR2/V1bpDPp/28m+4AWb5xN/fAIu3qgnffi3d5099DMJoqQ22g+jl5kP7
cf6VIoES6ykjMixos6bu+/MvEOopF5Xd/JD/OAjD4mubOvN7fa75f6vlhif40/lnEmbS+OM+MnSL
//vpJec770wBb8jOJtdxkSVOcoKeiKFWK6wISmGf7AZnBPAY5+ZCObUFag1WMomDam+SoEUoiAIB
RJb4ldkrBlP2OG6K3rPP3YHMuTSkkW4NXV85Aw+sn0zrLC6s9RiJeCNKO7iOipFDkzm2thNRp5+l
wDugkUzhbT960Iii0AmW05irnREnEuoe+sA5N8u9GJRlIdXXJ0QPsTKeof9WW4+M1lXehHiWR6Xt
0iKxLlmuTcOjkefDoQqycSMrnaZAj4kbsN2vUTt1WxOrhn1TDMq5wt1KlOSU5ySPO+2GkKnH0lAs
M3XwLvmEeSqIX6HzlHCesoM+NGfZnJzophiHCr15M+rxXhv8W2xDV+5o3lblOCyllh9IjyKyVo8W
URFdV53cp1lh7xQCqlWKqFxPq3Hp2RDAzVFTO4RomwYe4KoPw2QVq/6mCdnmatgO+rwOl5DmALiR
TwhBrvLP7Cgbj1rVwyOTudqC4+u3CkcC9D5VLnG8PWFUqVZONB2rwg5iZhwyBwrbTm8BXlNUDTDo
yy6ptyBhSmYtrs0qojwptCyL3pfYiewSZKGOeXAanZC/seJxMBFkFL7MuQijtW3ntxq+K9vLcgID
A7yBVQhqaiwj9gbqoPVYd6Ic6RtNZL4eVHrlJsCwChbaiQbXS0eCvkj0IN5gPavPwC7v6zSYFsLp
H3s3f/Gt7rESdb11regaM/jRGRxILdWZlzaXml6d8rIle1mxRm7IbXZ7o+cLmDKzARDtT+4NGuhr
OPoH9N6CtlLY6xp3lCbrr1YUyrX0u4PVghkRsSRPzvFeJsM/+XX82A7Z5yjriQfPigUi2zl4SH8l
d6IDGUk6SFaq6zFl9JPiFBpznTFy87Vocwotw4kWok/0JYK5cdnWcb0szBykc79R4/A2VPAu2qaE
fBwlMUxOtbUCzD7kBdymCSbNZE7W64lXUENOiINh72DXE1YzO7J7ktdXhdXDCihrMChhby0amAAY
ITWy4h1+15G/bWEMkz/FX2iYa4zMSlDjBEucR1ZyDTbWXCD6RG8Dq7J/rhD+EpiWvhGsSAS9qa3/
Dc+A84+F4DJ4boLn9Nd3YP7Yt3fA+eTOMxfGmvMI1fleXuJ+kkxXmeIoiIeISHg9Pjo6KkS6OWHC
GJqv+x/qQHo5vLi2wOfE3ux36kCXZ+jHMpCiksW1wSKCFTWJfT82dAxjY7jPqt+h8OI6JOHbnFeV
5NhpOt8bi1zNYQIAbwzpXaFxW0nyJQPoI+d+AMx2TF+nzHjoZ71JTAYl/cwXJ1fXdjC9qC64SY3m
MJm+ufKdbM46uQkyOhOTlPmVXkLUm4zkC0NH/0m1mlrGGdizmMBCsy/w/rkMSAE2PBsV3qSOID9S
DPzHXAvAzqVptAvAam87Jp1bF2UGb5GMHvm3Yu9FvLcLZK+tIux/AGlaj5WkdxYjbMEPZaJ7Ga0a
H2iQHxK2TpcJ+Y+rKsQUpKw+XRFDky/YWneryBiM67yVBFT5QCXdiRJT9FJbVeOgxWd+aSQjoWoh
S9gpyKb0UYd5wp9W4iaXcqjLV8T8+laYOfSA1MY3mTiefznJLnp0cs04+WGldkkRR6hztfQOOu4S
g/TlhDJWN3r/qiNmi2PZQREbnKd2IkqkaNnDd95LyL5fveBgRFbtgQ4BhyZU03N4+/xWVMI3N2Lo
MET/Kw4yB+jv67ll8ta9Jc/Zl784ynzwW0uHjlaAjpDfxq780MdwhuOqS4o9e56y/HiUpQOoaqZN
zIvMuRH7bouC2YPbQc0wCr4Kv3OUJT/9j0cZqoViOCS4TnBQzQOi77coFu6cwHFtsfPTzL/324iY
7yrwQClK5w+I3nMYagLrNxkysiZFOh7JGKPEGu+bpO1uBJnVOOxL3/ta+VbvMKgdEX5b8zDCJjfq
5EG7ucjnccUQzrOEBuKugyhAxgAbrUBehyWO80Y2j1bmnxiZRCtrqL84RnO0U4N8cjmdfAubZVdr
RAoEcMYjEmYi2CsK+Lcl0py0X3AR/JktchcbNmqqrxIcGNHkHTEYeg81rgrrkMBY2+D+idnY3BdE
+Ryw6sNfg0GZvjBfEZQe/4rvPff9P3zvWwqxpn2N/+J7zwe/PWEolWxeCEOwDrRmKfh/vvfom5hx
CDb2NCbzUp9PfXvCkJaztBCKL/8fsvOP7/085WBBgSmCM4HE8rdaGWOel/zwxXcNtJsoNMlzMgWS
g/lgfKdv6iRmPeKzwbbp0YT2eqrGTdkpUnO0ZL5HfUbUYZOcZFdIaLNs3Mx59ybmLZxvso+r5IBi
d97RRZbM1hWS6I07b/CKDJAEpOgEVJxgDzCsShjw5lmc4mVfYuvp3CVNBUI6YgPT+LIPYfYvZG8k
aJ61LlCHWh9WExk0q4RwHLoLA3eH5g/mrtP7Wbjz/8g7ryW5jXTrPhEUSCTs5V9A+a5qb28Q7Qjv
PZ7+LHCGPylSUgQvz9HNhGKkYrO7gczP7L02aPa6eNWy8iihcMSa6XLkf5Rxfa/myrphxk6MwGNO
INxCXc4j886S0VU5RtdY9eGfcX10xny2y+yxQxzsNPxhYrzuGCGvELicBBHUtUrCZtSY103WIru2
1IdUZ7Ja15+Rjtx9zKUOd087FqXygqqYC81pQfoZ3XPhxxipI3b/SVJfdoP+PE2q7459TwK2qb0n
2KxWDaGQLoOIcKU1zhd83tgC6xQWWbwMZAl8rYNi2M0jCmi7CR/V2JiXv0R06HuMLQ6Cn41Mxozo
1bJxkXdK4AtEaOSzYzxHTkm4AAcuMA4RRScxDOYhsLXFQD+khzG3qqt/wXuO8vCf3vOrz7rqouw1
b3550b9+8tuLbv4Bj8Rh44hdZFE1c1X994LjRV8qVZ0bjJEm9Sjv2PcXnb3E8kIj+mFkubye3y44
XnThINwRBgMG7qXfmllqv8wsOYKgYNGjmaBDJIPQP7/omc06khs23WkqhSLBiQJ5om6CyHbaB1wi
050yTv4rxfa0H+WSmmM25YWh+MO5SWDRd4w8GX75BlUj12Tb7MK2+rSM9irWHHKlQH0M5A4O0WDt
NPB+YAqzlczST5zrN7RyJpYpu3cH/CZ6ES2kf/2htkibwvN0aRbmF7jUz409Bpu0B/dO1uMQVUA+
4IQTPhKgD0RrCEuxJ8IngoMOJUG3wmMMH66PqyMGyx08UQpf9cIipKTQrxo/JGTsy1DYO4PxRzDI
yxRIlQWqtZOjp81Y3slK1kLzwuq77dyYmzQn5Lpej12O+OEBYTjdogqoDnieAZmhDjzCDjZSkKiG
dawQ8rUrjU0YswXQYeIQTDUV9akq631Ny2+Tg5l0L3GE1yM28OxhV9P9dA0+bhck/W5sxaYNuwtF
qGeiW5ZkWwOrGDg0MaunyMftkIdbkiHcKLK9hBglcjcI4Q3kZaT0144sTzO0pFarLlqtO7D9ICIv
WRlqt4njdN0b5bWfabmzDc0i2PdmSZh3G+qAxRnjrGOMmOgr3qa52wLKvjaMkMxQFVOoGby0pBiV
2pNmK65vkHsOLPSxzOZX1pV3hTAiQg19YGlleWc15ZuJUrHphQ5I3yIOQVVWrVDuqZ+ocyz/MQ+y
I2mjV9AzrgAHVXdxDUJjM9E5uJ0yH+rKOfWN/Z73jkDVQf5pqfp3kO5e2yx/I9ATkdb4Qo7oHaXT
Wh3TY1AXmUvpD0SQcIwoc46gGKBQKM8ZsxQHN0vr9F7JAbpt534zFWg3QWahwpovcmx8sjDvCuj1
1VgDFERGH1liq2rKsWk/B61dAefiKsSFF6OQVSazpKLKn4cieZ6V+X5U09odNOb9Fepy8BxoTltg
66t8UJ6btL/rZtl6qZxfspK8oVGEz79/zv6f1GqZnH9/X3L9vyb8/OUQ1pfPfO8yqB0WFfmfl7+U
9ByzVFNfxwh/rrPQetA9gCxAhb5UZ9+PX9zfyERwqSD7/l0d+S/sPMAInOGsGYyvVvCfDeBNFcRq
xViWCMzJvgvJ0F7jOFFdny5hC86dqG3D3KdqZRERWl3Gc3PX1QGFVUaWEZDVrh7TFaF1M7B9uzrU
TBq0IURFkVGrNWP5pkbqB9KIYY17dWea06Yt7G0gM4Kl0rfCtO7bUl5INfFKSRrpSk9IJHDi/JJ4
+nvGoG4+y2NoOc/KFFcAUQRZT0lJaHin35eMYVw5x5yZag6iDpsZXvFOJZVRPLVhtDYrNfUmPFW9
bPHfRvDXUW3hdxEfXCVPRV2nLuWGJyoIUgrxIqS04E1R5uHNIA3HJfTCPs2kS7tqBe5H1EsOKNVo
ZzAK1XRxKozitWsG575oC9y0BbzSSAMdKxtyUDTLeAph+6/qHg6tICii0/1D2mrxBhKT4RpJK4iY
IVrmjfsxhXOijaSMxbHDpicho9kz0vG6ssWnGYKerbiqijK+CyCnUCMaF4wQQNAh34y6+oKde7YN
B6atDCFXjWpchNFABshsy5Xmt/MusYcEk3pylc7to9k1dG8q6QaEzsaxQja0c6f6aeMptrLVwURS
slqhp0bGg55Ub46eYvL3GUPOyQdb+nNqtQ9oiAYmx8YTDSg5ljruo/mLVY730LdxxDCHiURyGwUx
kRDNuxyl2Rwdc6pG6C2zv2ZP2UAQAI2kNlawzqSJVy5uL3CoB25gT2Le/f7p9L9OcEbh9k9HD5lZ
n39RAC4f+lYAWohBAawgAzbRY/+p07P++Dqj/DrA/Fb5GX9oGNNsjGPa1wkmaupvRw9SMwRozPM5
kXD3o0L7HQvLV3TTTxYWg+mkxqGoImJZ+swfWzy9jCw9zJWYDQITyQBmk5XAcCgTwH3a+Br2o+qJ
OPvs2u7SFxEXIlk6yLP8SzlpkuDpcFuKcTcpxmZsCebVCYFzx0G7GGRxVrX8luL3pipC4q20NIUA
GY3uCCJl07LuhaZHshW5OUircZaZ8xO1GPwiAEe8FEW+6sr5Qg1LfAxjk3mY0zSSpwAT95n+HlfD
l3ionxjRkbecKGLVjdOT2RStp4bK9dwzklQqThqTjFEkGDb8LqpOH3q+N4aEv7caQrlIj2X9pSUs
rw5prHcFbI0cpF1NrktiolZfwTNN3CHtqs0SMJeN40tKUiw7AeHF9RTucqZXsdvlcCBwT5QzUTlB
6uwDSseVWiu6S2AldpwiMIxtTg77O8lM41VnFPhQpipX53NfF9r4aBBA64W6fVE45NYMUyhWIubr
G70hkbRhMJZhdJwT9V5V5xMH7k5o02tUknYR2cabM0MnTOPqpdXJvWzB6W/bKX2JgwBcjjZsu5qt
og9btBuUDcIFyyUafROQ9k64FnYeqBgftWGThBh3rl4TmCWrfWP7GSmE1buWVsegk6w+4jxfWT1N
+tTWr0Gg7UBVfcFh4PXJ6ElzfknmZD2ZaAf92Z2pWWd/PDRB94bX6JxDqoQFQRE1tCo+X9gaLvLG
W8fiuB0mQN0ciLt66G6rOCnXPCMAv/DHDA3585b/lo7hUw9A4/fPpP+TFZP1j1uWVfr68fmrao5i
5/u5Zf/BiUXPSo30bQz1rXFd9i9IV/Gd0J8uZdX3xlX/AwvIwo36FX6gAz9gWWPjzTPoOX9PbCNV
/mo/TagYyTr8eSAQbILvf7KdlHlDfywWRg05mRIfFhz3fRQMhEbrwWnuojtZNtDexH3RkX3Y6Afc
XbDvNZYlSRDsCm1+qpkHYXV9SYJho+jVk1U0hdup2U4tbJ88rhbIuFIcuDO3OYnUusHVb/jGm5GH
l5po9n7i7HuhHdSmOfiSoDG7tHh1u1tLZMfZV061wIVqROAeNToESCKF7vqFxpQqr7J13cVHRq/X
jF03Q9VVqwLQ+aCRjt7aGx9uTdSlT9MMViQF+Os79jodCCXP2YYs+2OkNeQZDNGq0YvXtrGPpFEd
kfPTUCkAEs9Gr9wk5D6HBtd74K+VOdwz7KHrDS+iqLju9eRaV/DaEA2n5CH9Cy8mW+TdkEUe+5Rd
ZncnEpZ2xcIXymfrRq9VC8GevekZ6cUVxyz7qwcwDl4ECJNi9lFoJMaSPwmApUt2vSzX6iSI+taZ
ArCgSsrKWqGe+DIHyXtUdm5XWecCpFaLVH8ljfgw+9ld5YsPfoI3mdXfkIx5zPzkAG5815Mm4xpV
shVSuU0z86j35ikrchwBSkroICJFJUpdH4bdKs100oeKrbAa4XYEZQQdFeDYYkkMI+ZqpmIdjZ7M
vqQBiqCY+hqDzTnusp2fZrchjXZHrqCbtriLk2TaRzInNC/n60IMzWYZeeSaeZHI34kCj7yhM2+C
yBjABSpf/NG/mP3yyKIL0rH/VGrxJY0nOR8i3Uu/fYws+SyYyJ26Pj6VuI6qhNQXGxq8VtmXLbX7
yumilzTVLkpRKZ7aM37Nk2o8RgaN+rtuRfAqie0ieSXoHJyVaRU/YFu/HRfUTQrzprGVBzvqr60F
huPHzt0YgCLHrFWtqVba3VSplxYInWKk+QapI30ycRfGztAbe7Z45hYFPT+rhcSjd/YJ4CbvTRpe
Zrq4HJP+tirMl2yo7mWQF+tA6/v9tFB+UnhCA2OGVbsQgCrEa6u5dGCx8g8LuidqjTsECdHKqLTH
osJoHebJASbTkexUsSIRbtsDHcqBD5EzjSEVHJGpguauy4spkJ/Ln6+J6uQsACM5jWTwJNxzI4QO
6P43eWPu9QKEHGngu6xH7WbrGQ+jJHGoNPlvSCMrF2oSFEWJjaO4UtolAzLOD0Q2lqR/EDsCdKmI
lWdnoTBpbYwZN7zswTMh/ym8QbM+4pCrviOydcJkt6sVklW1ID+xGFCwTRIiFlc5vAyufNeQHTK2
XmHmKztyRswQegZVkNavY1W+F8n4xITQ9BK9rZGtCkBHS5q0KbfgEE5OkBzTsVb3SV5u0QnewAZZ
EceU75LBISywJi9i6CeEJkqiFNuStdC4Hlu8AF1YBLvBnmq+ydx6zMZwfvj9u/N/XT2vW/Tyfz9K
QMbIwx791fZm+eD3mt6Ri0MLwc43pOL3u9GkdBG6ZAnN4HTRqH0r7bkAYVKrC+tNY0G5DCi+lfby
D3uRn5HPoDn/8bT/RmnPGOKXu5H9ECJ1dkhYk9Sv250ftjep6XTkjtfxriCylokmRGgi+vAnKvbC
m1Dzq6CQs8EULjG3ufSzfaj4RMly7TfmikW7QUZqBkeuTFLlumyN5hST9LPy65KBqTGVZ5jIWxSa
pNsrW62uGZ2K6iXWrBd16vTVzJgxEr1Bxrt5F2ntuispNvOQYjTDkLlq/PlKmbM3oShP5CjyUsmK
vIhshCvRXSZFspFD8lYHgHZ8q0dL7jeaawnRbqHMv5A3wp41Mi7Dag5W1cDMZAl2F0UCGxe2aLH4
yQ19V+jqnR/5Lz6WtiG1LzXZ3uXd/Ioe8NaqbIsemwraAh+5o5c2iUnpyN+yNU+DNkPRKcnF9esz
CTkQt1Spr7nm92ZgXycxgaemngZeLfCbx7b2YDXZIRS0K7UjjqMJRgOj2GWsNCoKVCOW67KcQ/6Y
ODGyI6mpj43DHd9HMWhafagfcGZbnlMsQpAYYEc/psTqytRfD7YSuEJjvG3ntXYuv2aHLJoLZ5Tc
feNlrcRMbOyUrKGuAldLxCOoyu5T8gW9yfHv2jp8mmDtcGW8+62/4XElQCbZ2+24heQ0eIVSHdom
528LAkUU905fPIu2JiuMZFb2VLIksLlW5W0228eB/i+dFSbepnbdRNNV4mQeDKHDPGRbf5j3xA1v
YBquayWCL2RDVBIDmzmcuH2guVVsXXdh8kIV9uJwswm/3LddfTbH/l1T2dCF/rFrgjN3jxdm2dZA
4Tt1EpRvWTwZM8nb43zSq+SKPXuKuA+ThATOpvfFKan9owjlJhRco4p/rWTR7WCZ15MY18y/NzrA
n54My2zO7ouZ+OU5W8Ma8dhRbBD/bkMng8jQb9OZNM1o9OJ43mptfRC2XFtVsiGg7Ea0JZFNkwaC
JAnDo191fBd5vzcMJWB/Pj351Xjhow1ER+aZOZphWBVwrNS7qLVex5ypb5dekaFEAmJmvlkjAmKz
/4iz5CEFl2TSutUaiYEG2htNxnr/PM4Ve3fWc9mTXcXPNZM+slgLgNl2fkaHHtrUd33gtQL8U8/6
4dCZU7AdSbLvN0OQhBt2g+NGm+qjAn+v11P1TLHACF4Za+MUlVqPnJn0pQ6Hxzw9NibEmqmzx11p
9WQlFfLcds0DVk4iZ344Wq/+M2r4EX/516cURieOQhMx1086Kc6SMqnsKd5JtfdmaDtxSuYoy4Cp
Dg///KWWWcZPsw50+XwJOkx8O9pPWy7FwWw2DlW8m/ynIYi8sBbEdhI5iCBy6D1J4/tvuBxtfgV/
fzlixO+yt+7XeZe+fO7b3UjfaDJQRjkAOvzPIm3nD26k/+CExZ+GXjruDaZdFmZpxDZ/Aq5KzFsA
oRD0cY0RnvJb3BYcH788CNI20I7TvCIIR0bIv//hZhwIrhh73vydajOebXjXJocZEe+e7LOHlneR
ZdPR4t30W1iZDk/jwFsbBf4r46K7ZEktXV5rvYk8hfdcWd73QjyZywHgL0cBs/aXJK5Igl2OibBq
wlXOyWFzgqicJJpPUA0nS5AMLKKqk94NhP5ke5sTqCJYjrhPL1Xzdc4JlVnFfceJRTrJTkgQapxk
hWNf63F7I0fw+4RopTBTzQZNb9addU7COcihmi6rSMkpmWNA1Dk1O6164iVsiel2XKclGEebPNnJ
q3EBWTqEBI4haG+rpW0Np11Y+x7ZzS/amL1EqXPtdJbqOlOyTTnLm1pZgpiJKuCU92M6VUXdT5z+
E7eAbeRey60wGuq1MRAjAh72svPNY8P9MfcEsbfcKGMWexyte8OvnqVT3RM3uDD0L6WsD/lyJdnE
4RjcUTMjcRBZm6mc32fuMHT0TyN3mpXrBMEF4+fklFx3bQfDPa4yt1ouw5Rb0eZ2/CpNTEmUotvm
6lSXS7RfrtN4uVg5bEijVGzoWFUT7RWEYNxpTv1QQzRZaWqabJyy4zeds1M+ijJn0wzbVq6JtdO6
65AbewV/mvF+MH+O0Cs2dtnh0JuW9LSmw4fe41rpKn8jWr1a2QpDP2sglloxX9XEcjwk+ABTYfZo
JB6soBJSkIwjMhbYFvMD60jzEbdATfwklfy01PTovcj1EnQP2W5cqn5zqf/TpRPol57ALyi9yvAm
pVnIlq4hJMzVpI3oRm0r+65b1b22J5KErefSc5Q0HwlNyDTqoieo23f8VTgCnC+XfsVcOheyvFk3
L92MaiJQsRL5pRtLcyVk/FZMtoThqh6YrnYUPrnOjkrfNA1Z1UBxK8ISV01tEhAIPzchlSqT2ave
kJaWk3oOZzdjcaIo8lFkRIgzaUZzQIEDs7a1Sa8YS7g9acVtiaWpbdYhUcvWrFUrB7SvnY27ENRv
gAvZidXbERAQsK+j2WrEuxs0+uXFHAxbM/Fv62jYclmA39be8rZ9zGT9mTbFpp8HoIGkMVYg4FYx
wEkioy76qgIYYo1nIjBJUlXon4Yza/pN3ZV7E5gx2vFzOTNWAXKct3S7RJ9B+3cDXZw138JUoV8M
yA1qk4cjM5ZkYahnad16NSBlX4mPEpI/kPQ7Rhk7FdIyJEovDaYbPeofUkjMRatc1IKoJoNXD1Iz
0lWXGLg7iyGOEU/bXkzkaHWnYtI+ZkjPzMng5sJ+Drr8rANkW2GtOs3QoWco0TbUoFUHN3punH3Y
pGeUKm7JMqiIpjOLrK1eF7sqyrcR/Omp8EmCpSV/b22mPm89EszgalAydByNGkzW/l9wTxrLMPLv
78ltTRRpBGKWS/HPoP+vH/x+US4ViYQwi1rvJw7BV/sgyx7syf/B8n/rIdEMcRvC9eF/vnLLv/eQ
iwJQ8BmHlI5lr/RbIvalGf2pYlIXyhpf3dLxMn4dv/5wUU5gjlOr0LudNeRh5sokmJNTsxhOiEy3
iMupF6y134bEmJaDclDisqb7UCuQH+bAnMdydo2Srg1rPBAhck8k4RdeRFQzDYQcAwSVHeg72MVH
u6m/oAFy6856NTQ6r7GWu9hM9sOo78h/uejID2sny6PhvTSmhd6dNadcyT5Y1LsBtGQp5xtKkWMW
FFdG2YMMUObE1UvmkAjorE5CVpwzohYtldOohjPW1yu9Gt9YvPhssMzuGU7ki2VzcAjic0O+c5hm
+aOtFienn17jNosQPaofoWre8kH91imV8h4s17hZ7toLI0y6aFcpoWZ5/4oXBC3b378gu9c6/2zb
v3g9+Nj318NY3g3Ixv//Jfg2Y3H+QJUqDRsJ3GID/DOpw2CSAg1L6hR5X8Wz32YsC8QDSxUiPMNc
Pvhb74dY7CJ/ekGWPYbD/gOwNpwfaxH2/VhJliTPKmTWtjvc6/lHLMfU95Q6keRha+jioqz6LANM
EsTNHJLCXGVWfFHGAazv4N3IpvnUa2G+0tCH5r0NM8Zg6N7N+E21nuuiyvyLbuhRx+EecVWEm7tO
lawjhvJz6LvJjWLYFL3RE0qt14cwCba+4p8BiyZrxHFe5Og7O6yfBlC+3Pri4Cvimhfrekrtdaem
+6wUu9QJd6ovqTsZ5rTmIVQV0p9w+a2QM3xqBMxPTsSEGURmnEUfQ5Hed0jJs0m5J8/pUuX7tDYK
yX8bs1JUTzWGL1MqxCHqOnJrmWjX5kzhYFvHWOvOURZeTSPU0SJ8UkPxNDvTuHLM8SlLnB1BnNHK
KsB9WQPx9eoYPwcREXrl8DT1mFeUVoc/GDOQzqe1Npgo5OxAWyn58FpmlePxwLyJPH3IQK7tEzzV
q4rhwLmaNCQsOXGmNt8wqeYF8TN6R6qqHJydJYhWdRTJWkSfmPWXzrFoyTEWvoqqbyKgMZ6xkZB9
gxUlUB+aFG+xH1mblHix0NUYfytvfTzN/QkAF7o0xlzpCbS8jF1hSKZfaHvuxSSz2xyhM6umPFoR
WbzIdwVceYaM/KJwo5hmhpQsAh1fYmbx5gKvjBhyFthwi/amCJgr8Rf+N8jvjWWY+Q9Hy2f+8Vn/
FUng6wf/e7jY2hJ8g4Redeyf5Pf8K4B5GvtNwSHC+pP3/tvla/zBPairSDk0U+Vkwg3yw+Gi06ei
lpUCKcXvaTMwAPx8uDA5xj7G7pVjBnDJcvj8cPsGDIbmOUAWFpbDXdqW61n/IgiBLMgnFfa8cSIQ
Nf592FfbIneOURDcqyDl0lh6XU0weKG55aL81uNDmObHAaHVZD5bFm7/TPNyuzv4dXaXagFGK+Nc
ZpE7EVEQNM5lFM2bcoyB6UEVCuEHmL6z17MJ12m97sVwmcjymDYqiL9oa1q31Wj08C+7jVLGno8e
NQ0AbSNy3NXMnjSHRLbZ2VoEhiBueA+ZmZIesR4V1o1T7KXjknHvMLQzi11px1+Q/zduYZGbIfub
LmnviQs9SRwzjsDxbMo9gY4HkVZe39ruPMa4ZjLi8mrPwkzn5Kk3Yvxtouy2IrbHxwVT+2gyEabp
IeaC7n2KTK9l+zXp3twveBSmTWhOM+XRt+6ECNysOKNGO2D5XYdj5Xa92DDvP066ONp9tCbgip4G
JW7dbIo0e9E6iCdteBVW6VprnWMlerAEqaeatUfmERF10Rqz9HG0YRMQy2GCN3AKGql4OhKl6EX+
fKOUw3bS3imuXL23z3PiPKnD/Nxm00adn42pcmMLhJsTuGEv4UFZa78q6Sofg0T1wkClRcUGjEKQ
KQrEaTJSLHPTKMvUEtM4GrJ3u57WXfAVimCuyV9Ci3csDIR6VX7ZpROnkpPhszWcXZvjQu+Jv5Dp
+9RoOArJcR2Hd2Oyb4pM7GcDZXTgn9q0Pw+zvjPkOZxs+g34TLri6rm2sjp7N5qvlRJs0S26FHKh
atH/laS1c6xVxKSO1U5pzEOdEYSiToRKZm7poPNgdE2v48VldcoGfLZjg/l4gJ8qT/NcH0B5eKGD
yTaOetc2urXTz/u+tTzc6feAKD6yrnSFOrhjY8JsHqtNHb/5GhRenuO2jq/0lujk3r9Q5nzbBcqh
J7rdLPWnbHhWdPazzaxdGBWa76y/n2W1wRmx83MHo4XP2ltZUtLOMDPUVZuRb55BoKHSbZHFmKpc
k1+MZGhMTW44y/A38RyeNENxIwVzdV25irwL0ZbrDe3lTAqmEm9RKcCpQhsEwd6orP08EuLdK4+F
EB5Uew+X63uuB16aWYiKW1iS5V74PVrlwUOw5yoQ881FDWBaF2ExXBSk11bg9ZuGHaI1JeFKFwot
erzGME2Cq871uiBvS5JvwsxcK8qF1J9TuFosM7GipV7ZfVF9Jip6sjGQpkMFusCwum6bRDILeAsi
JF1DfIe0fRtN8pim8X5K/aMh5wseo32hAcSaq4ilLMMDdSbfJe32S6leMhRgiWO0gtl5Ld6ABh3h
JutshYFkGtYTP7RDWBfrOvB3I/r2cHhOxsuAqZk/PWtOfsjkhHu2i5/yIt8FRntO7P3YVldOaOxM
e94mjraxgugqbsAZGMOjHkMKkvZFF3aFFxrRenCUQyp91GKs1i1em+bZ5gHSzMJVQuHWTQpKzD+G
cvKyKTqQ37Ant1p1Xu1GcAIb/OA09QO4z8EmzLXIlH0oko01Ozj2MR/V8ya1kNY3zUMK10UPpttG
S58dwaAREv0pqp0L8EvsuayU/mnamAW7I9QMSTBiYlDLy2TWN+MQePEAuXfRa4W610vltWU2tUp0
fq9a9JiMxdM0WBj/smuteJGack5rYp9a667DYt742nVu8iOtqsbLq2KLtxFejNG9mkRKxYXyabKX
G2EiF+iIaVBXg95dDYlxAYD91enSGx7wJ1lq9HckL4/GFgMkk5g6ZRAkJmcvbOUzCPqHttSvW/Tw
TFupX+J3qhz1IWxTr++N84yNY5VHWrNm+zySzG3mZ6LWjHKlFOO+Ii22HVt35pfT8AUmc0dPSb4I
UBV1HnZOw4CiLPZ93W7+Bd0Us/F/Knnc9HX6pZX6+plv1Y5cxuvgURb6yddu6b+NlK3/wYjhr3mH
JglnzL5QnKJPp/z4VuiQjWYzebAI9viPov53RKhS/qziWkIJTXbiiwEKQ5P5U6GDKLoRSm0rOzOy
SKPOy5fSl9xBrUT1GZQFl0I3eKidVkEbr3NNPIUAppuRxVTl5qO/gZuywszq1v2wk6E8+FqxMQIU
q8zQiz5EyZm4FYP4jK5GjVCLcLqpo36M6iWaeDzESfgQ59lZI0VLitD1Y8C6tnItw6HcNqBPOpik
q7oZn/yanaEcTmmsc9Amq6wmOnhU1uyur82wBQjRH0xjOg2Jsm3zkJGF9jI59hER3WHxpdRms6Ea
PTaMAFelPq6H0fdi9dPxUwRIuJ1kTfApTU1uwBcrL8m7cUs7WymivDW5IafmhWHHimn0XTwgw2/y
TWMzlsTpEgbo9zV9hCtCbaH0mmdn9Qn4yLkZxL1qTGvIA26fRa9mOp8ZAu9irfacEQ98C/Ywaj9q
2V6ZTOTTPHGNGcibsC8JMHSnrIE20x2TutpIq+Sksza2ptGf9odcBjvdx3IZZfZ13RpAMoyjPQWe
RVhcL8SG624BRLlJqnrQWy7K7ANZKP/pa6Urt6wOPLxzF5YerJgBAERm2ToG/bVewIQuo4txgi8b
q2eFJTKTTUqHcTV0/iH2CVpIryCH3LddcpAD1I0i3zPMcYeyh0uVnodkPCYQrcjMvIGVtXcmEiQC
pPq9PNpxw10sVzOtctkWawCxbsMTRDr9ymmDTZKKewdDGLnfLOQf7CFeK9HATiVAcGTZG93ovQij
VEA0mBHOB5unLG7FtoznCVgUI6dApvs6rdDSZrcySfZF4xNmM6yVPDhOTbOLWHwrYbkuVHxInSTu
rd7FKumps4bkj9LHdB0KkNHcV1jnrBS/gW4eKwqdJGPN38QICa3rxOaX3iavY1Cul7WH2VT7xKkP
5lDeCnb8aKLzVWXKg53GZ9kbTyYG0mjI18uva0HxtUO/d5LbZgJzWwbrlPWQVc5e3SDRy5I7w7jO
DeOTwD9wOhSVxfwxkqjeDfoalgNGJ5Y51AcvGsyJzLJuIjxncVDew78EymeYq0TJ7/rauZ6U5LZj
1N7U0ZdJTxBAKjxYZn7DLvreb9E9adGw1wrC5PjDT9HEdjxOyT0kT9gq6NqrL8k4bmQ+uKp+KeN8
A41mD+V1pduVa6nTllAAikt9HergTNFyHISDTy0Bk0MeQZy0VwhlbjRr3hWRtu37addiQa6Fdaz9
ygsTFBspVUn5iMx9G5gVUwDMYSzeRhDlLS196khgOrG+67M3wr9XLVuHISlx7h1VIb1e54c5Mot0
wm1ulXdqOlwGU3zSzJow4qVrK8Hg8ETm854hxdUgIcDxJMIYPVKGrtXCgE5ubQIluAi16NgTNB+H
85M5srJzDX8y57VV22Jf58VMoYI9Uqxb1Ovqv2IisDgX/n4icENXiQb045crEmj+92kjaaCGs/hq
0Tj+14v77ZJU2VovQ3dM8AtZ7Ec/PiNFBo1isXB99dz/4BNDCI3vg/+bvTWr5t/jUIhf8kZYWqNd
4NJlqKmp9s853GYcik4bum7n1HPJQVsFvO/dw8iyau9Hwr/pnbxfO41saYqS9ynwj72jHUeYN0TW
iGulnC+d2nprKl+HmVV/8ONYKx3uJDUzsgsRIFnbyAWTsgSBzQoxNm0A6igRxn1Y5oSamANbtY4B
Ih/gMEQA2voRB0BMDpBhbyPVCJjr4ySJG8XZmrFQ0ZMKhE+8a8iHCGlas3QDM66XItiUeFzHYcYS
kBWPCiAsF0DYuVUJQjM15zCltKLmcNXaOY1TWTUb9CebsSB3ZCjqTVz5u84PYHG1eb8TMPyZTWae
WbKihAP2bmUkaoca98YsEMeKANRvW/aXYyVyNwZkqCpGuFWybDOUBRHVzHHJoXM2cQ/zCmYxaRud
+jIEiIKqmWOGQdJDz6z3INRgcI2GuSwN8j0NX7nKlfZyirjytZTrKv8f8s5sOW5rzdLv0tcNN+YN
VERXRCVyZiaZTA4SeYPgiBnYmIen7w+0eWRZLkWo7k77xnEsnZRkZebGv9e/1rcir9LK/KDXoFBN
ayL4lfe7IkgPNKiR4YtdDp4CDLqQbr2JXQYbNRPtyorQabUqqRd9mVzqbtetqkHRPCNkcohzNG0v
s1zqlsoBScVNw+JQs6Lm4tS8QqhZ9/p84aK87tXVujfHxYCtSraadhflz4nWGhiGTNpVzYp3NwDH
5g/BVz2IxuuiL+2z4hY3KoGU5RjW7BZJaMD1Csx1ZpNFaacZ5xrgOCdxSDt4gbEwHTivzJ5rRAR3
kjucC+KxFJ3jJRW3fFGI5IQOTldqPVxNHS1uGbDjq6HhYsUn9d2ww/HEup+oHXWi9EoZVKr6un+w
iWevEryBTh+q6SIZhX5pJGW3c3ppH/JSZqdGMuPZqoJZKBHcpoMoZ4ipc1/7n8RD/u0srpbxU4UU
Y9aPbJKP13xeF7TfkB5pSVJ/6F5CHOUEJLxB6kJoRDgY17+Jo+ZcuvR3yIL5mDRZQqOC/P6yX7kz
ELP9QRwFsGVxk8HIZVCgPN8p/iSOytJP/Ynt5DauLKwW/U61a68M2a2b2VUxscqP2BaYOjHVuDKn
C4b2q7JrNoNluExwqYOZn9XHMhCt/xq2xKdYnneWvRKhsO8Lq+TTjRpVTXxr+nJgHk242V9RjEtI
qekfa7YSO9uvPTWhaGj0kwuglDjLC2/AUwYo4RIaJaFcccp6rsFhlN421lWQ2veTg9gv6iecfDMq
wHwtB1arzD1+Z14pdTmxLLHudKteaqlz6ER2YckKIqTlnuhkeiY5cjS453TC3ZDefIUBcq0Z8og0
iJsPo318K6zpodALFijHKDCXYSQBEWPGb7F2ppoXTpgrBGUiaXYtVCDPpr90GhgBpkJ1w6swnjD/
erTCXwjshKFbe3nPYN6Xe631V/zY3g+6G9QhxE1aHCvt4Le11/mYVrR+b/K/fRwpSMGepk0rNfo4
bBZuZzZLR/R0MZ27ESk6sTb97AtpzMuOsH4eFaDP8M6oqMZMuE4uD9SYEkgLDskU7coWmTuDadgV
txF2T1Jt3cEFSNHU+sJmGVbWoNyLtscEhNQzzqjplHjEddEyeDeFsgyhX4aui0ZHqK2WXpLoKNrN
cODNkMV4ZaXpMYLq3jdHI9RWoRhvOXRuxwYtBxpBh/DcgaDPnXyRFSDMqiuf0TMuQhIgOqWXF3FX
ftEmjCBs8QSOSqNsHmw7vbEHa5mBdDDM1wztm0TI11hrjDnQQ+dT27xMrXMTO8MuHCnfYNN4dmS4
MqyeFBN5wCDaSdRlPadkuy1v6/i5JRBBvtgNFypCZ4rgGYzVKyVOd/HcPh+OO5IEqwiBtMlcfRFY
2tKIyr2Za0jl3WrqzEVHMavSF8dctZeOdLyGiF2QU6SFFNv56cZHmg0yuQ0HosIc5gmUnAAJ1yal
zhXw47NiPymhgBaHb6thwuCxGiED28blgCjcIg5nuXPsFBW5etrBIT43TvNSW0AZEZXjOH5pJMJ6
oqFXJQdNS+hTDJGhQ5YZiTwWCkRxM6DcFVm0tVeoQ7cCDVtvJ/NFMclD3Wnpc8Lzwc/eO31Ylyho
Ee2rEfa2lhhqxD3NoIo0LZSNiE46SemifE1FctP4zq6GWRSDJ4+DeNNj5f51jen/x0whYeGfzdk3
L0Xzt7y3j9f98WwR7m9oQHOMWf8g+M6r+29bfWwtCEEMUzP26vutvopRhglQx00xMxy+qVFAsli7
GZrJVMy27leeLNaPazeAOgxzBugtgDgfttY/P1lq5mpdccx6KzUQIXFSAeZlI6w/h3a2ZJmrzRMc
zNbssUF2qtxnjIxs191FVD2mxM/67EtBIikKrisEf3v+kspLWX5x7VdreFGM+9GH/cjJ57b3eQ+m
VqPlNiGlG98r0+WAZKDr7xYMfHCDif5VUXN4B89tdcvEvrCMc+hfR8leTU72tHN8ZTlET074NqU7
x74rC7QXFQP/PklOpiq9zPnKt90b4Mb04buV4RmPr/HFW/JywpJQnRznOA4P5numjB4N60n5Zs8+
OLiLePkgXV22wW2PADH5uNX5pcHILRO8ZGrybI+PPRp4Pn3hNr0ImwC34Es2b7L1myTw6SvhyUHt
dG0/+ghtZXmTGReDfSeshu/kbQ66p7GfOSQ9ezpKhtWc9X0Wc6E+qcFTku/V9DnQx61rklnT7uv8
SW/EArILLPVreDsg/KtFWlcLVd+H3bGqbqfoAVK/3r44TO/+UHvDdDKLw7wVtZt7/HDrovoSUWaN
uJLIc6fjZyN8YYeu54xgzcSD0x9b5RAQIGyCV6ncSv3LED7j6yX28lzoO2vcBVKB5XwbJVdqexb2
wY62Ufsk+ldDjItBa9fZ+BgPa1N5TGtcus+6dgu+gsVJhYB1zKJwUfjKVo7nTrDZMq6EP0Hc2Psc
slX/1oqvk8nWpOWvG4tt3gW8mwdj2I3JzTQqrPXIXyePCCdFeSLbtiTYYRtLsx08NT039VGNrhQe
YqN87Mpm1ch2GZDGdKE3YULuyNHkKtWqrKtyg5gr1yfLP0j54Nj9oo6gsE/PBW9WJkhPIrUZphco
Xy1xdJybcLzHSaz2PpuEj/gsz+ynyb7r8T0W+bs/ZjyG7hL2yQaRnMC5H21nUdMtXkcVFuCtBntU
U5+VJPYw/XupjS/sqY7ppOy+tNZ1G8ysYsL5qr/Ty+dupKCQAAw9VJvRfJAGPYjGKQjVXWfcR/1D
X79mGGnsczjMmB0Y8BkSbbc3la8Ga2GV4kOhQD3lv1bnHS3Ofos6lS56gqrBvHyFCWzE5S7jwyGZ
vpzhrk3uO0gFlvqlHNB12p3K30JHEF3wDZ/qYem7V136tVKZKeWs7L0p9m2SbQkR5/0FsLplG99M
4q3P3ydqGH30JDV/SJOnUdF3WhRvLeUAyEoWbzVvXBbFgK7djVY+G85WxoRpw8eBtzdIx3XU+TyS
d2Z6ssWmgFDtt/teolEVqWdTOq7vOp2nXHyME/hS8sUtrzRzwlR+nMiqUnK3aLvbMS0u8/4xny6M
1r3wa5w8Z9ppvJhROebWrwA26uWFg03dOOJBWdfphePHK0FhrhscCmrbfZ94k8kveENx+SJPrMVk
su1kMjYi7sQyWLJhg+LMIBV/NQgp24xpOcoY3+WeQl3E5WngL3y67vmJOhp4Oo/YrllExciemO25
sPKgH2nlbfLLpMwWLW+65so1XcibwY+WJDC3Iz2e1vgY8dMZEpp8KoIXmQIXUJDH813ffA2bm8Q8
Q7NYBnyigEZFSQRf4l2ijwXiLiRFlrlvtK4DiWYRUG0LfK7KWxXkizotVl37Jjpt2yoJYYDGMZel
US4dV5keO9Ayq7TV73LRfR0M6F9U2JvrTmsszyyYw4LRfKfHcO/EKUvr3l63DfqHcilDLgaVpi7L
Pt+xT7yYZoUklmwi3EWb5MecDjGHLnPQETtu1zB/+lWQw4Bxpz02+lVlmst2VlymFmuWjLciK7kV
cw+xhy2+EXJy3ZIR9BzHe7/gw1bV8dXUZrvChcwR3Za1sepkTq4ud1/sVE1f6H1Vd8g22QGKGedy
sFJc5aYMuGpIiN3WwaAVaor8dTN2a2mqWCR4w22sSiNzKRMrZQ0QzbpVGU3X2CZXEM22pGoWsX6r
BVi4QXo07UJTXksn9eiFDVRlM3ASWQIwWr2sRyzKPZHZLDCe47S7Cm1MVnmpn7tKcPDTHLGqh+Ay
RmJYC6StSdFvlcB8GdLU45vsiRoVa1AcdtEa6XMTmSsAzuHY2gK0d0gWt4+7cN1B9n5QOzP7R2wO
xU9HNu/p+amq2r8J9Myv+5QD1N909EtMxTiB/7BUfpNGwWepNCo7SHlzgdKf5QCMSySA+HHyQNiI
vw1tH3IAQyABITwEv0gwnMfC732Y0HVcDXahg9qKxvAXDkTcxIGTD5SusI85WTZXgji6sQX37qpe
xjBMF73jSFo4mlMYYzJ0/a5faNSIGJQCEJIsQNTH4OIWhfUlyCdQvvx01xKFsMgS+BSEnExDsbKt
pg7GVWghZoZu1xBkmQI9WluNYjwyNCSYESc1fSjh5muraOCQJbiYuzu9L4vr1MhNqtwiK6WQvfza
5KRs06H4Uvt9CuPf3rcpvUaRX+6NglRROD87DFJ3OdDUpm9XYWCfzWaA+4T/n4wH3spCpcWlM0rC
Monc+KniLE0/1C+rJFYBRUVqdVnCVd1iWAzw41TZHpQ1NoMSYTJqZ4dhW9jFUWkxaKSRu2IuWNZl
/9TY8tGOe4iDSqk+GJK9/0LLWV0xsXWHX78q/fvpa/pPI+THt5ckfcuZyoMfVw7zS799ryxLpUSE
C4zmIqrxDfn8Xmm/kXfj5ILx9HHd+aaxWXDqv5FX/rRvoN9cJVw+34Hmq9MvxMf59f76lZoLEvFA
ssEwPuwB3wtsBKwcLY1jcDxlfcvqsd+KwSbCkkq5rNl7EWL19zIs0iPIoI7uLSNU4fqUeYxjpszD
ZtnwQSr5QFm+WGWmHsZrOkCsuQ2Yj2X98Qm15g9rMiS+lwhxgqjQL/MBUlsLoK7hCmWfqeNuV+SB
6pU5fyniYOxWdSKdU2g4s2A/cu4vBitX13WcOkSsLHFWm7LdO312mczc34JGNLXsDvyZFeo/U3Lu
vlpuMsD9yG4OWGI3OEdxf984hQ+U2wiXMi3dhRtKInNkgC06/0JbQO6IXNgoo2KvyFw/Cg2OfQ9n
1GsBwKHzYyoyU4xXqTK+xBVTaWsW7HvtViydSPZcMyhxY1G70f1u8BhxipVpDsjxMPJl0p6DnjRz
0Ezjxh27CTVm8IEIK1OwBNNWrMqxL+5El5cXfaExiyFZ4cFs2Mq0PbAJB94ymJ6vtmjyhQVLzmub
KN8qmbUXUqN3IOT641eds28dlXgEe4m11BANtY4meIPC9o1bRy9qYkX3DhT04gBeEAwLjqByE0Vh
e3ITLDq9UC56lxqP/4Fg8m93CpiCB81/v3X0nqrmrXprfjgCPl73qYbMLF8Yk0DYZsbvLGx8iiGC
FC34JZV1JB4Fsn5/frLy4ORLq9O4zbExEya+ySGEInRisr+zJ37tHNBnat13j1bYTpR684gnUsSf
869FFsjKRtKQJt/WlkFe3CcZ7kd9eCDVqLpeWpfccg3ggiboAds6Q3wZvCa0q4goQJN6uaVxVbJa
vIBLSwaoo6HerkXTbaTFpH6Z0afQUfPbIxPbo7j1SWHnvR+QDdTRDsXByWvIwB9t8uNHs3wxqW52
UFIdTJM2OsPGzuYy7Jz0xb4P2mkyPQpabLw2IQaVRVyMVbYpfUH6tqsvLVFvuwDEggKcdpXU1n0f
0XPf8XX0shQQecECcVx1VcK1lOZRpe0uuK3qynY0Zw+GDEXOlB47KzcO9RcDv1rn1Zmav9ZBjr7d
rIRM75oRt37b989C1lgvzQN8mk1h6NTn+Pl9G0KVrQouM27WXHOxBIdZ1awl4u6pmZQLtC51Ueod
tRXiujSBI/S4IegX25TNrOAICs9N99kRECCKApGFy8GCNMEm0txNoNKdFBLdUBT1PWgxQGch3so8
oKdNCR/gtVMHF0llW4CRwEEdhNteL0ruplgCmyCVWwXFNavCe0PwNpit9uTX3dqCerfOyrZaYPXk
VqyND4oUlrMO0wTd1dT6NXqPdY4mul0vAIDRqZbbZXCtBZFyFD3dGhPFQRSqgrAM3lKrtNdORqCL
3PJbl2r00E0OxdB2Xl8G9RThLpJKsm0MCwlM6+zNOHKxL0Z1IY182xqsdc2MNc/UuDu7HO5g7o0L
vkzb1qGOtpu4nGnmHXUJQChoKVpP7UgPj61V20TihtGH4+SH6/9t4qayEtw720nyd4UiROJaGhSf
OBu8NMg0FCpM1kAjiXFy6wbyr7ulQItrtuRwdvlUu7XcpEN50YlkaVaZN4mBVgUkmCRsWOzo4UMQ
pPcGnhszA/9ugD72ptomCgN4RJmfqWU+PDgs4Kl9uHQwk4VpfxsWdGl2rSVvMq6Cg2NtqJBzFhi9
tqVQn+tB3TdWuqzp19Ur52qoB1S+nqFvMrRtU5Yg3FlpxUEBRtBRbsyYT3w63PuWjpdT+WJUxTOt
1sepc88gXy8TpVnpelT/My5MnME/O9XT1/4tTf/mVOd1n4OdRqeJYzCHzccmRzj7y2+DHYVzHOdI
3B9HNDPf52wHKJ5hEBgxLbXqX8MlREQJfWpQFeYr2C+p3Bgr/nKs81tQuDL/RqRLMLZw1/uzyh3o
tWJnMCO3nUMqIUuKh46hc1E1Og+17FVF6FikRcHyU0aw00Y1JO5PrYDM+3NYqVs5oU5hNfW0WG4N
lwWpHl6aFS0Noc78Fvj7cW6XLVMWjanbyUPnC13FM2ITfyebENPjUFbD7ZQDMdYUJre8N2+Dot36
RnAurI48Btu+AaroQqe71oHCjU5MZjMtZe8RBStRpdCvu3Y7cg4t6xjvPn4BVliieU5qdAg9HW+D
WO8WAHo2VQcU0ObwQyDXFuU04guU5jIP3QM7QHBElc4/nO5qSsprKfIHW8TAwJNSLqTE2WkUevhu
UO63Vtgji7U16vlGhK6iHOuxVDYkzeJNqGXXEBNRI6qJ/0DqwZZlMsplYVLl0HZYugkBDGhoua6S
1E/JaeRpUe/72DhWqMxeBOrSGySDXlE9VgZnVqFYKL6ARpW2v21qf+8qqJeJPz21WXCltHQS6XT5
ZrZVIQD5d1YtbDJ3dgvFLzbQX61iS/QhW6UamW4OpUi8WLQHbysNdHljuS/Y8srzKPtyFdl0Ui2t
Xq2WtItXbFKRxyaZ5SdVjtElXCh1E9RmeJaG3FoZtpBuVn447D3dUv09f71bFzjzOnCQ3XTekdU/
4q74UwHmWBTV2w+HCS6vfx0mLMxUSEp0nSHCzJc7fupzRnTpkJlb52m2/XSffR4mJNU+ouD8/YMb
UzXGx88ZkYuiOfvVPiUb/Zfuiu4PhwnGNKyWuLjZm3Fj/IsZw2k6OGMq38S8wTOrGyzJXhzFYtbT
sld6MXZwjjtSrGrnpZ3+CtGbVjE3UQ66Uh01J3gwkngl9fw2n+yTrYyoG/0s4iQENKhmPNdh/DrY
bJ7y7APLeVmqw7Yf5ZNZcvMKBxb+bWPvhJpuSlkUy8omymW6O0NRN5OGGN5jfQiN/GJyhlc/7ZaM
uRedUV0If9iYk1jJOHoyC/NA3+NNGrpfiaUdUiV8MyGcWJgz8ZPtLd95CpoAcqKg3Cy/G5r+tqxC
YiaGskiAgC3cKP6SFuUR68wF/Q1b0Cw3ylRcTFV9aGyM1GpVFd6k1k8EmqmXYUPiXoSFuG7U+ITR
jpWfXhZePac8I30q7vQ5/qnOMk05R0LlHA7VIZgS4MGjpszR0XoOkcKJkV6b92RXJgzVnWiz20SO
JQNNiAVlUZqZw87RrbqlMhg+jXJ27+kpKzQomXRYZkG/cl0A5ZrADdeEy0kPxxVNEMcaak07iBoi
FRddUScbt+LQ1Lt0MYji0dbTg+5W69HvtX3o2qtU9KzzmuKsRtEKaxibOOdYppjS6eCIx5H4sVwD
Td/UnXyruV4zzlWSObhT1waWEk+081CXavyaRp6sdDO9FMpQ1puAZuXRJZHfHoqoUx60PnS+cujH
I3+swLEIBIYbGuOaQxcBaNbD6EvAkQepznoh3ZJ6qsUAqbi870UNgTKHadYV/qKq6C1WWxd8p4i+
+DK8Ly2dzaERky/wBbzWhGncMho6hwuiNm3F5Ni+xwHuCrMX2Saa/YK1SgphdhB2s5cQ/ON6mt2F
ETbDNB5yj9zLlVVhoUNr8SH3WzXsL/yJGUZFaAUZzch4F6042muzmzErWANHGBw7jI5N5eN4xPoY
O329rmc35GBB15ntkWFy0VagDaRVEB/3w+Z3Ztb/eRn+I3grsIGNuOLrD6HopZBjFQVh85d//c9/
w2v5T7MyCzijPx64puBFf5reuHerNqckHAGmrn8duA7GOORuA4/CD9xjbvLob7aqkw1mgJvv698O
XAtSByOfBdnq45b/K+LcRyLm9/dq9/p//5eF6c7S6YmlaYF8soP5+PvpLc9qI45I3W5znfxYYkxv
dq5DAZ3b47gswpxpKZ7amaMLBNVOKvXk+lY1LhVBoXUPgr0NRbnoI2z3oT1EZBtMYxWFeBU0ROIF
Ib2ayIG/xXdHWwLdOdiEIypReOwXes3zP57UjUijASA8/bIriODUucxzQ6I29lVXc7VblFxDVt08
XAxd8FrP44Y9Dx7pPIJkH9NIPg8mzTyisCxlWJnHFnseYGommXweaYx5uAnwfHVMO2o1PPnz+NMy
B1VFe+swF4FmZJc1j0qd1TwaXXnfVl3o1fM4NQDhLSwZXeTZeGNPxpOKtrDofb5HRmQ/u1n0NfIV
dsnUyPDuQUSmbjYaOYnHQbtT265ddfnsS2469UoXfYXHfzL3alWGi4auI4gN+r43qlcYghQT4XPi
Cy6TrYjVd3gPp2mCHi1GG7SWtinc6yLx8zl0ma9N3/b3WYDzKq9g+9UZK2jU/uQwDem1X9rtAScs
9gQn52FY0yWe6252wrzeE9sOjIaMd1uL/FKp4uk9svxXtcwfbasHFeXgLSkMEzk1gNvQaPzmRbFH
f3pw5jSoXpi95yqEiZP6Amc712a9PURC3DMw4FuQ/pUTpRj6NOXYiUYyQmq73E7TDYfVqxtpWybk
s0HQF2oBpomEgzSmI7qPx3M88bGyc4fcSLuXoAZVCQ6Y1O17PrcOVjqgpQB6hDE3Eta1PreJqEy/
yrIArbxuqS/s51BWSKFhpIt8Lag4hDX1YKlZsMpxS4d19TXmm7n8BwyWtCr/7KL6X+nbQPfmW/XD
cPnxwm9nnYq6+Mlj/7BcfbupGqbBZs/E1asBz/nupqqS2qMbEJMWnITZn/vtrBPAHDXul8L65dSD
rrHP+E6AdOhlZ2Ky6F/hj8If5PuzLjMGktFDb251Xz0ZvbMrnGpng0cRVXWN8VBbhr26LzR5a6jm
O10Ib+DKHtWqOamTfU5LdnUsDUZvavKTM1BcSEwfgKcCRrwXtbPLEKV0Wr0LeHt1mL43IroMI73a
WkNwAbU9O7NqdlcTGJCFJC+5qiZXo56T1T8l2wX2klJdDjheQFCv9cx69DuCwKX1AjX8XLFs1G19
10/WJpiytVo9Knn7FgcUBqYkwQaiTZpioeskS60ttwaS5WkWdtSsvKnm+oSJTUQZXMAsX5WBfrTo
mnELzSPOF8T13g2mlY6ntC3tLSWAy8yxLyqXuc8PlsMw7uKwXWtQ062w2RbpdJjdlrJPb1UEK8MU
dLxE+3EUGztsd5Nu7HjNAhPqasQ3Wddgf3VnWTjZ0a0OGTtB0bpXgUsveED3DpJA6t8WdbjCprFW
lHKTYvyYjGSdOOXl2JUXrdo9EA68kCZHv/kWGDDI/HCDD/WLHrorPZ529RCf/cDZyY/AWLlIm2cz
oks86b6wengAR7pCBl9qDJy0oZ6s1t61/tsUqocxVheVQ5U3miBEvy7CuCPdU/uhMyC9yQOZ0/nk
RYeopDETYLwAbcKYRYouavCVPegIF4OZb1MXsPkwTgdHuwsGhWn1q4lmwGpmF5pyWerEE0XjFzRf
9sCk0gutcEhx2V/KxvSmYLiXqb+OfGdpTwtZWbiny2xbmdij7SY7UEa/L430OjFaLx7sPQQaudSm
5iZuHY7r8uiX1VKPzIM9P1dgi+O9clgFp7Jcg7tZ9ZlaoyabNVArbB+AhyHBKA8+h3mQWRdhXB0l
D2puOAFlYzy78VHxQEuD9TizhbNJkqK2PIm72g71L6mZ3eiKealLXIFWS2YTWioFCXMtuh3mnmUX
73XDY/cfccRaPz1iMSH9TYXGvCT5XO+4v80im0l5DMhvtB+Gws/jVUUjnIc4GxfEHwWP3+7us10C
je6Po5c90+fxOofKbORzC4MqiiAAml8YJedF0fenK1d3VALBbzVv9Uz+eH/WAX2bivWyabstLVAl
1wjEwLhSs1OC/nyoiIXuiMUaYBZGjNZqJp/FnM2x55QOjxU2qAG8Aj7YV0Kpx5NPqmec4z1CD7uL
vkt0Tyf7o9cJSWGZpadkmE1Rc0RIfqSF+Cz3C2uOEIU1qWJ9jhUFGgEjjJQsZNVh1VbFOId/skub
pcMeAwh5Aiu7Qa+yz8YcXsrkZD0EiUv9GYsn8KRENnzUvIsk7sZ1l9pyH5IyW8eaOAKteW4jDFjN
0OfYH+tDxl0MFVDyHz+FEzvb8RqOKSTxyD6XIzm4qg9YImfVIY7Mk4r13mus/jD1zo1tDPBJSs4i
qaA61JF9X1X6XQVHBWueIci+CePZH81rZ+zf/VrLtg2sZTwX8ZUf2QfFaOKlpojbSqSqp/KQWnR9
4INwLuxeOddDEg+PSoYX7NoqzIiQ9T/hGzmPGv+9Or9o85cie/67+x2v+5x5dDarcH/5bJPc/H2w
+fxS6r/xVYXqxsPB/J3C/y913vrNIQEK/YkQKFkm+7v7nYn3aV68shmaDRu/8qXU51/p+2+lSd8D
eDs0PYxNmJu+/1YqE/xuAa966470g0Yi/UqDFcwm3+A+V/KPzLWAlWW9HJdlE3DXgG7UOTx+Iy3e
taJJ1yDcBhIeI0XHEX0nneWf6squgY2gpYB9GTMJMyZs6NXL6pnbprb8HPaFeEhuwDUczF65ZJR5
7mZiT2bDi237DB1ctSGide4yHt3bvtVmSHB8rD5oN0LvVwJ4995tbHXZhJIiWRBc0WIM0J/YBt7m
zGv8QUMAAbof1u+W2ncPJWXms0dNOY59jvucvcWlEgQl/8e5YyzhBlP21oC5i++NbfgwgaKNUORL
qdq7vFFXCXRcr3dHCLoJEagSGKOv4EA0AmmuHJWnKzWD5lqwa+ACgZk3Crqncg7bJH6vII8l9S5g
RTprhPKAzWlYjxWFtPwbK4DSyPe+6hLX9NU7tafnQNF8Z+0OykGGKo/X1KR6VtIxqGrtqoJ5v+hq
eQzailax2g1XDePKhW9NW8XAflrXl4CiIeT4bP2KPPS0tjaXllvQfJZkkJrTYO6qmViDC67EXfHV
5mxEqfcxjTjyOi/DU2q6PPJrQFju1ZBlp6jhnqbOmfnAxhHmKGh4CfhXrR9LruypQdKttq3tyPm7
yIE306zbnLKk6td1hfHXGSJ/xbF7DLTosU/hCgh5jwq3Aowde47doXDV0WFKtK2oI2vhK82NLFpG
NOMsnPGlIGHLPhYoXhe/6ZVJHdC0lCZJqSIKy82YNm8hIM6lFqk3XEVOxlTaHpSuOTRR2QiW3TZ2
03cR2fsiG4tVnjsKAee5a6zkZB4CMkKkm8bObFe95WwVbJ4LB9Qj6LJKeCRhjQ3hscth6Bixiplt
7JQODLByMziD7TWKOTITu8vULxOU0q7w0qwnbNtwMVak7fmANriYpzdtq987iWF5TjM9TIGFk5lq
JA/wGdDlPn6Chd+v9DIeFqNZXWV1RAmBSpKA99GJ4xbwQIVpgC/S0g6lPld4pmv6t980HYuSLYw9
+Ny3wGqw4wlxA7sNVVWIfZNoysswjm9I3hdm6tTrYLSVZTQY700/sSuSZPRqRawLHrN8mdODHJAW
+/yJno/K81t5ysPofbL7eleNcmPJNlrTp7QSqnurjLAlbb2AWpYoHTtjSEKOQlpBlHAMBqBD8Uwf
clrOGgOo4SFW1KuhnVuKY7XnCRVY29Kl0xNN6nUEgdS2Q7PSQsVgaScf+759doqwWgaVvw9gLDUz
bClR/dBzM0aEKKPFNPHrf8LTC1XwZ0+vw1teRNUP9/WPV30OlOI3w2UdRJz0g0SAv+dzoBRibpCh
wJtl0aeX6NtAaVKPRo72d7/Q/KrPgXJ2DbJEQpv8I1z1K8+uHzfL+HC5OToCeCHjDb/r98+uprT8
KU+y2aRBqxxek8SiXzulxLbFq6HEndqv/SEqqUv0e4Qt+GvhFt67tszQ7XMKFnPqxpAboY5FlFQs
RNjSNxinAahBiksTOzwrWHIyNhDEJGH9tHhlC7GKHWYzJ27vIOWBV7Ow1/cDGSStJpzla0PAXsGl
VcYK2Ag3FbITYUOjluyyNYII5ECg/JTboIZAZffdo2gKtuM9dTBNDIFDxRLERAkLTvniRuGXsJ49
RlVUeUk9HnUZP1KsI5dxpleeQrni3PpxDDr2QsLNNtLgQVyq+6iUS9p8T7UW7abG3/T8dpBoMBda
WP4U5cGcornhbcTNwS/EjW7ka0fra1Dp6yFgRo+T9soISOFIPHl5jzEErcPDzL+XbNPI08TcmPtV
YsC8x9h57vMMJnOht5iTbX9cW1W2M1LzoKf8uM7NBQz5+FxVZFEzLTmMYkKybLFthu2thEDppdAe
d2YO1x7+Q8eEIS6EGkyLckbF+0qAudqu2kNchxeqHlxOxvQAm+zBFTkWzjqvzNWQ6c25KQx5VY7D
haS5ZhnnWiHg6GVQmHRdsBhkVrmNw1pA8Q90517UQ7gRkBWDATSd5O6dWLl5HthfXf8TxuCZDvKT
MfjtqX2nm/CHowSm6L/GYGH/hkUD2wWByg9eKdLa514Z7yGLWQS8P+zEvOrbUYIQzBzMgoST6MOx
+O0o0bUZocKE/PsR9EtHifP/yDuz3baVLQ2/SqPvZXAeLvoArdmzY8dJvG8ExVYoivNM6un7K8lK
bJlJ994U0ATOzcE+sU3R5apVa/iH4zTYBvhswmSxCWcUosfFabNgkAYCxMMSdMvc2EHZiY57ZONw
sFaxRzZzXP+qHNnFwttO1nSgJ8jqM0R0NrRlgOIv/cw1qzGeTlA1I01LYFSiiVlnmnQB7NgDnRbK
M/KQH+UgC+EyWcU09MtHDdr9bRkxfwA6K6oy14XbY99kSipPqnW9uFHjFIpXRDo4Tco1siRSGj4E
hvpd9TC8X0fZjzrWUfyFiFhLzL2TAhxK7DHc1EtlKHvSd2sBZlJWpFHjxj8Wfo7LRG2vwkBaasxb
ZXkxhVYANTDOZzIdTvwrqke3YCYqq7Dd66S8jXIJcyJt6jZZPB3U+Nj7GDc2Sf2lNFUSm3itPuFf
mNxU8rZYIUR/p67N7UxyvGaUgnVea1a5eIpTRypIAxOkWhFSJeWM1qY628Zqjo5xkkgjUofbwIcy
gOTmhcJoflhB5zMSxGbw6sbgK6pMBibms+OF525sQZGEnp2TsWN1e2GnIfIhHuxrYRcbldUN6cjI
r737erNZxXWDjUVtYfoH/ULSs8+swnq4A1dLkY2/SQ0HdUFAZ7fPcim9chXQnko9xijh3oRRZ2F3
R/GsXAOSnnt1fu7KwipKTcl5Qv+iwfhuQ92C98JjE0TjjeJdMdu93aBUn1gEP2HnXbNsDdy468xf
PITJ9tt2TRgqjDnyJTepojDbNX6EIXoNbvlUoFlrbgajYruRh6a5vkhKin43dUeRY1wiTeAP1Vq/
Tgs+tcD3zN0m3wvmuXkaIVFT/5AAILqlcevJBFcwYhCfBs1dY9ijqmBHxDl4WiAI6aK+lwcDaxbh
y+ZNPImbw91E1XAQeCBNlSC4UHVYoWtZhtniIFAnsO9FZd/UnosqKabq+Bqt1WG5lXR4n5kaYQGc
xMbaefo3CKA6LkJ/CKBfGXG1tPZ2P/UrE2PMgcefTDm8s2/4FT4xQEKiCWA3MBuSoPd6URa4OLSj
bXyQQFcTdH+FTyFcD1pHhGV+7O9h/CRgQe+6CMghk/AxOGFITE/iuItg+mvKLNOM56HrbT9LXnzH
oJCkPfPXDnsULcX1xgLhVbjIS5jVOhMKKUBpTFdn6BhsKFKLQZMYKBoF1jJWvOgKB1xKB6KD90QW
iD1KdaFIFexMGbnaJ4srZBjF1EuDAvnOOjOpFWhVf0kWZTgpwsQcoqoejeVMPsfRLICs5ATTUkqQ
8VW5+qMRrc/0QWbgcW9IDkQGPh2IreNCqEapKYGGjbhVoGGjhrKwAwJFthczRI1w3BQQaPUhWjxW
0qVaPzWOjc4EyrJgozFAHKZFNWkae4yMK1JMNyC/h5L8XOWP2/jKMrAkFGSuCibjt23+tIEalnvP
W287DI1yJJvRVRr7Q/zIodLC464LvHoDtK+3sTGt9RhVX5eJDXCauHkcxKj2OmmkzytG8aBZwOpP
so05t6BYQUz+JIMqXo98XycdRAZL17LNJPcL9cZyQHTbGqTsjSk7HvHWoekPuny1Zv3i2F1Ja+9q
bVvzf4cDLLPff58BXa1WH5IfpiO/kh8MrIXVx0+iBBnOIflBoAJzMPAfMpNRWvZ0Dn8lPyQ20CGA
4O4LsLenF1ULCSG4V2WLv+UtwTE9Or2IvoPogx4Js5LTa/J+bzvzhoWzADZTxbwaSBZg1jTAlhOz
GEQZcvvBrApUjuMBrB0vA2tqpnVmTI14E0+3dSg9KJmt3EVpoN6qlQ4KVdarqWcmbPAw/LaI5Rgb
ZvvKHPCdPniLsoLs5wfkOl4l/agHi7G0gfVUhFcO/Cu0K78vtHKkaCFq0ooq7F/orqkuxALwMxD8
+SYpca8WarNyPNMFnAeaFqjRg5tEmFhq4cxH2Rzr68skda/KHF1h8jIC5XK7WKyCWv+RaM6t0lSf
K0W+UevBRZ2h5+gOom9gPMYu6n747Iaf+aB5tQ6+m4sECwtoKLoOjQKJxLmKI9UobKLZJnWuQqdh
nQbOXeSDDdHVbJQuZP4rM1+iWvrixOA63PVkY79shMNUAPvK09Qru/lhuP6lgjFXWZJreqDfvKL+
nCXmbY3BVrEIsuEgVS4rA1DuOrMi3FIZC5uCNhEO3Bc10L/Vmy0EZO3GBtghkrbLjY2P8lpBgwZN
IsS7gwXAvADxJ4v+TI1JG9SFyaJuQHEZg5u8Ci74h4ssUsdZQSswMR4SP4CiYjZfUzqmi+xSsgDy
MSoMmpc8yAaT1KvvbZo3GgmwVW5uMBRLEMOyaCaqNHFKbxRKySQKimtBA4nD7fVm4cxMxR3XlMAp
Ypp5kV2WIZJEW/+29vW/GA3OBx5R0LNAlznWCvLXqmRIXSxKkL1JeVcKUQtJT66dUB1pgXdNZwxb
8uRRieCfkIsuavSyVWcMVw+AwVxygrFZTJJBMUqqh6qokZlbSvg3p86FFkHxr6sh1JBrfDfOQ6WB
zje1Gd2nXEIKNmH6JkNNW/SxGZZvkgkttKGxzceR/WyR29u6PtkAFa9Z1ir/Yfmf+V+4KMONRd8a
xR89X8ZBem4DG1e0ZKoDXNSTL3KDk3JeX5joE+AXHfry1MvXc0d6NgwTO4S/0miL0KePSywEWJ+M
Eem8gnNYb9P5VinRi/1LgnTrhX/FyF8UtfeyzuonuhP3eb0ZxQF89pK97mwfYtu7TKMMhVVkwRZf
Uw2R/K01sgTs0hQATDlnh2p580kWwMzUR8HI5y03KYoNlYBuQu/I7tVmm547m/JFqXVjlS30S1lz
bv4drgNh8/j762C+SnMK4pePd4L4uUNGZ5zRtSK0o/VJiSsEO3/eCeYZXFiEWhVDCHkKmt7hShB2
XAbQbM3GV/Q9zto4w19EYYpjWUgecW38nXqYhx1dCSR0ggCiwqY34QprRzhrB86bFHtejB6to98n
65BujtzUN0bVqJ/ChUdW4am5KU0Y5txJtlNN04rIgbY8GrQR0BcpT5UxdJBZExgzr0nPYT7QgXPU
v6qFDoyiSpGx1MZGbSOMVbiQQxNXgt/gny8GtTQWJjRDN9a2106E4so2M6/1srq2FuGNOxgM6Kqt
L1KguJ6fXZkI0ciJf+PKxR1Dlmbi04MaIouGdy7qZAiM0L1SnS8BKtBJuficLaTLLFdQNvKt78AZ
uOvwn20U8AoLNFxsWG0DYi2yMXSU1SB5LNP1hSnFz46Curdu219LWXsK0iwbBZrxo1g0AP1ksCGF
k38vQQ1bTYl+NvJ6EJq/WRgqWGjBFZW0HgPHHYYo6xeLeNhg/ay5OR7r+RTM+81CaqbNxrxZD5JP
rltMVZRjEamOLFQuYLBpze0g0mBw6Zd0EYhDpvKQOVj4oBWlx59NyC0uZWSpPmLQ6Ix8s76zTPOS
dsdozRyHg4wuU4pY0BcJCLfhbc5dDBPleP0jSxl9GerUUDSBObwvw8+pnA+trQO/LGIUIU9SPdJn
epjmN+oA15bMlbTxAlm+XC75wycztPbnILjGNFlQZzPO8XA6D0CwNzLqckhNy863MPsLcsG5O8gQ
UPSn6sLELgPF1AjpIeNrnGaPgRqOaA1crEMHaZVkpeiL79vIIhJD3rPX7oXifs6aH2pwtdCeZJzF
uRhg5SkzJWZGgNAScqQDmPIbGpY1dqc0U4dyHXxKQKtrBHNA8+OCTIHV35yvucDASKKQVN/Vsncv
baWxmAhmiM2Eknwh4VASFte5bNDa/RLa+qhAWrkOaU3aOJugvpUk43iz+ZLTNFqo12x3INayECKn
wcBs0z6PQGvZajqJ/WIku8ookz9bm2q08Zqp42DBKEcoSTOKS168NL0VI30vvlR0gnj8OEA3vvGY
uGFmkz7q4PI3MIcGpn6xAdZgDm4aP2T6MRg1FlvSjM91fskwTKceJg4JCJ1NhLcljtPZYogFjw3E
HDwU4ytjHC2wWkkvNtaTcJT1GoirCx9MJVfCpkR3u7pJvHwY1rehcesA5jG1RyUc4HexxojqCcVH
eko+zERtgpgRejXaWHLcJ8/J7iUNDBTS3oj0TII6/zbIPG9UBdtzqEBLvCEngJkf8G0RYQJEVyTn
GFAZzIhppw1dzvY5mRXgfyyz0A0Cvw+KLcJIHgcXE8l3qYCfX2EGgZo3I2RDqiswF6nkjZkUl7OF
hG9WIXnZ7N/gjtIEc+b3dxSeketl8OGG2v3UAbmgnoEjVwASqahOo5D3q2oRRg7Qb3bXzLv7SafL
Sw2BKiuocSHY+rZkgUYOTQTdFA2su/23SpY2xyrqJi67HQ8I2JO4v96IsoYbX7c0L3XPs0E+NQJr
HG5I25N6XAFHDuzmHoDAyDX0ke75E+rnbxKjwYISOQpqweDzb/IaNyrJCsY2UQ7GKwoN+jDCJNIw
wrmsPW59zlmVkcM+etirmnU1SXQHVwLcaF1MH+pyimTDEGGmJ0X9a5DhzpBXN1qpPZh2PfEt71KF
XKOp0URGf581G2a2UP9HCDqCCcudBQNEDGMuDZTAvKiaDsL4tgjMm9JH4Q0Yk5NVo8pyEPIy58yY
bvXIKwAERPf2AIkMgwJKi67zRT7GDgdjni19XcMbXKveYlYioIB4+xUAk4e08m4M2ftaFIuxu41u
vDUTlKiZBtx1VmFNMqz5UuiDXgOb0iyweV5MF/52Fnnre9uPzgs5nOdO+inMtcmG4buDWpcx0IYD
P5sFFneHDHTBjhwsjpRJNpDvSn0zDoofg60xq9Jy4tv6U6aSjrowCgP/ApDqOFrXWMsWl2Fp05Sx
0ftEeUnG92qbE9ylb4ssnwbb7C5ttFmdyQ9NpD6Ei3QGId1DaXUT0CiBhbzxzz0nnkoYb3mQkUlU
J+pWBwGaeY+KZN+mRvlsDOjIbMpPeBiQ3Jrm0GZ+lla2Pq4G/jU06uTccrLrTTI438beZa0qBZBb
ea5V6WYEnvLFTnFexrfWgPCD8QmqoXI9DS3/MfYkQJfpeGssPdThirX1RcZhBARJMo9w0MAfZRi7
j0De7tICeAqC3bKTT4uonFduNMusZmY6rCl8moXe3Cy2tOCVGotRd2RX4ELMrxU63HEiIXxIRxxL
g0EpvxRxNcms7Twz7S+DxgVAY+DmAPtCSm0ooDo5hIRv1vbJdrWpbaODZUuDl0Etr3TPuxgE7t1A
o4zwS/AhCBIGG4XSQr1ANO2aBGksoRyA79xXCy0yz9THhbZFdLYghYuWVlRMtIU8VmR/GmrxJ8yy
wIVWJHl5gnLldnDnFdDxAInWvnsfFcrXrYt+H/SOczdh3ukp5Z0CXLX2t1g3FLO4Uh+3ivLkpOWs
tvNm4uVowAa1eQECeG564ajknm0oxBeQ5pz6IhlspxZDDxIiuB0Wx0vz7jMF6SNrMTOi9ZUBHa82
nU9lDtlDdaZWulnqED+iSr3IkvzBjF2szCoNDdjgDo24x2QD7MhMPislA45s8GS63IOFiZ3rlszG
Uz75vKuda+eNlTzGNWoQWX7llfo4jEUPUQDpjIU2ypsMSqtzq2EcVUpiHoCjSuFsR/bGhii/uFbq
7Ipf9VJRtzO3Ia8Agb3BphM0xqSxLjwELqzmMpBKrNAGOKuHdPitEVw3FFniizgSufS3UnPHjZKP
NmCJ1Vj+hG3fEwIEwxjdOj37vm2e1Oxe3lZ4SdHRQ/VdAW6O7twowMlSh2qy9vwpPqLjWpDq+EOj
b36+DRbj0I9vCnXzzQyYClixM0rK9HtlO3OYkNcKgwUziGY6fi2ZjhsHu8P3lRH1Magghhex+2Jb
+jgfRBdeQ23rg0f0lQBRhvXcc7RLsJ0Mjjiu5hqrzSK9UN3Ng9qo020+uGhMebygBB3aIdm8Zk1Q
rrqCdFTgAO4M/VKdYpQ1zzXv22Kd0OkwICj640JOzit989mQN9PU9yZwzy+9co2wsiLENBhHN9KM
+n4GneYG7eqhhCYQKssQ3S4LVDQYQFtEAgNBn5oFlAbfEUgeU8/cemiYOsoyRgl/CC0QorZfgeWJ
Lmo/HJu2fq406iqnAscN9lIu03PPX4xMdYG23ACvXx2N63LK0PvSCRcjyUBUEHDcttYegPeD7q6v
48X6VvKx41wHn+xYG8oovEqZNqNinyeNNGbceanFJKgDRApxZYQubpClKsMAa5vGS8aDUH1IbHk+
YNa3sLO5W1ubfgBeXrmA42W+nOycqj8Vq7S5h33pv1IBYQqKr95Fbph/BnyVu3Qh/uY3HTDK7Q96
9cj+3MSr//rP5UtAJ8zN8tR9zmm9ro78sw3SindJ1O7Fdi/0x+f4S168eOETVP3MRn8Bbh/UEmGI
RVrmR6Hz+uWBsAbF9koTxRzDGwGW4QPfLNTvluLPv+V+Tf/8PX/8DT6sBA2AjiuB4gRzJiIBcv8M
o4R637uVkM4MvmSAkcXuq6fLoB/ToP7JhkCkkDxYQ3MN4a/jDWFaZwYAX1Po1pD20v/p61LsX2xP
7/151v7W2TBgJUDdkkxTUoRbHE98uyNYCjRN0BSANbDnsvZ1KbqHCeFzR+KLV/NeW+FoKSyJzp8t
gOCKigXFjtvRyzihHZed/+SAAEc3MTOiNUUJKerOt7tCOCYz6xbUaJgpgIz4ej+XggDXOWQKkxM2
BsugECw+7gqFJUCLdF+h9zZsChmRjkuhnZkmcZE5qSnvEAvvdwXCJQIHJuOZtRej6+2u6H6DECsA
5SJzA9lLSPIdpRQibIKlQ5uTzr24TvdHsn85hXAV67graDhBaYG6wnRdE9Hi/a6wsCLln1/Xob9p
hUDmdF4JA3wBSjuqzFRl90d/FzWlMw0APg24vfprb6Om2v0C0c4IlaJlSa75ele+XQqhcQSjnK7m
q9blPpHp3/kQN1/HXUGoQLfjTRf3/flgKUySDgnwiQlFDQDI7hN7uBTHE9d/klaQaCqcDFljCiV4
c+/SCpYCLp4moXhHuSZ8X/q6FPvaqEverXNABJoQBXOwzjtO4LsDAu/DJPGwcTzrdQkijKI7HhBK
EMDnVB+/0JPvlgLoloUaxCuhWszi+cAeno/9bu2yKbQzHQgYKRRITnGhHmcV5hmVCWTU/WCnv50K
AVXovCkgHIC/YBEA7iHB9CFUkIsij8dyCFq8SMD6uSu6pxWcD5SfSRrQDwBsKKCB784HsBNFVRS2
hViQnV5gL5dCOcVdSlEqwoRNybWXV3i3FCa5KHcpEl77TbNf/P7Fig9+Av/kLuWvTofqDS/n7VLQ
rUApjBafSc7J8entXfoaz7uETfq7xAL2gxhGCyGNowNC2CStgrz0K6z284B0D5ukFcQBlaJz77Ny
tBQ0biRh2Ur3pr+3x2ss77YjKDtMEieJgmyPm3h7OKDO0vmlKqU+AcLQ26XYSUF0vkiFmiwAd6h9
4vIgJL5dCuKEwl5Q+ZY992+fz/UvZArVw45LoZ/BwiEcHk7A0UXK4eDwMCJSDfoZ+6ZOH+PER1zR
P7k9yBgw5WT3MwhhHnS0K1QqMXoVQGP30aKvu0Lqviuoz+Gv/z5W2KRX3KQq4QJw5E4dtI+7gvvv
FAdE8FnQvqR5I27So11BTgHJnyGREJLv8QTkAzj87x8QUZT+yp2oOd8GTajUNrBsgHSvGXlf80yh
zd0xaLIQovCg0EJp4uPImE43QhKoIeH3zhixv3mmdIqeDSBH/uI/eQHvdwX3B/YP0ORfddtfe4f9
u0o/cGH//vHgKqV5C2LyVUrguJMnOhU0wk0ZhYBdK6+n5bnQ3e94QPQzrgZDRVkBOm9Lec5UDP6v
9rPn2df+lWixdFwKYgU1qWDM7Pv6R/AS0m7SCYYjxl5/oretPKl7Kw91cPR3JITUJNQgaem9jxWi
6y+m66zVq+dfXw/IvrHWpRgTSwHLCqF00eje8WvfXaY7vwvSiZ7jKsAVdz4gwomD3W8CqJF0su7j
8py0m3sUVwBBTOsv8Agk3QmWAv0pQR2ghYUalcZ06d2uoJMh5mEyDU26/7sD1M+0+xR5BVcH3p/0
NFFm/bgUhE0hEoEu9o620VcwgWbu0+AusQJWC1ACuJDKfhZ6nFegtCEK+IOCUV9vEJBTpzggDD9Q
A2C6sYNNvDse1hmXB5NS2wCoJeTf+nl/gI3pvBAU6AJMAMqK6bCoMY4ihWjvYqeLeEOv0ZoI23de
CjRpGZ1zUf4GyUwzj0oMPrOs79W6erorXqEvXSIFamaigUtbf2dWIJ747oAIo1UQe/Q8FTFK7SvY
5qOrwz8pxgiZ4u8NnECEi6OgiYmNwOLg3MB12mMwGqTFExwQwoTAKBILhBXjcdpN2LTA+dO9+Tlh
72VWIdSdOhZj1KX0bhlz4NRm7omg7w4IS0GZRrygjSU6wH1t8YrMsONSiGYekCLatzQk9pfl26Vg
BoL8Nvgrss1DhfL/vyveUmEUqsR/klwRE9/SYHRVzLpUzAR2CmZHEdM+oywhZGrwInrcswEc1nlD
iJRCB3H0ZtJztCF2Grmg9qhagbT29Gxo5inqMIPuFD2ZXbxEIuv9ruDyYPzBhmEtdsV7X9tXevcw
QcS06OSRcjMAbEWX2CLNlGHC7Mvz3T7sXX+XernzAdHPZGQEoTSgZSPwVUe7QgzQ6WjK5FWvjsc9
XYrXWrlLogm6hB4EwgkoxCF1Ldwb3sYKMQsiiUNq2+KG6S/8ipFd512hnamcEK5Imrw7xaSjpbDO
qM4kpCCB+4tGX09jxc78sWNKwQAEvRpsHnE/sxgLH7WvCJuUHGiF0tra1az727t/seKVr9TxgCBE
CDwX4yhZUGjf7wqWAt8VBuzUrXs1rZ7GCsFc6bwraF0dlmEHK3obKsRKgG5X9pSg3lJh+FudYCHI
IYkUKnSYFlqp4FLiUt17hi2pQOeloBGxk8n5GRXfHw/uDxR7oRcyLT2Avv//iw9+7SP6uWZ2T7Ag
EFJ5gCM4hIKPS0FDR3+LNejnUnTfFdi184uCb8f2iSbuB6iNAhWA0SEpFhtDAJr7GTQpojofEA3Z
RAB3Fj3L1gSL/i65Ju5d9K96nVV07+9CmxMWq8BpkEsT1tFHBwRhAmapfMNr03+/D/uXVbw2k7pl
FZQWpJHcInu99aOlYCgmmng0efdGiz1dCl2UTh2zCtHKpjHD6FjaC5W+XwpwR4BsqFzBGdC96S0X
ZmdG0nEpCJv0f+hrygqZFFfq+6XYAbuZBdHFAtPc37AJT/4UuwJmhwALYC4A+eE4VoA7khTRxThw
bHt6g2jdl4LGjUCv07DYw1aPdgV5NzUYzb5X1mlPy1I4kJ03BecDYy/YHxCkdmSwo/OBLgE8Mgwn
IAbt+nn93BQA6jovBQNClDmYBBEbxYj8aBTEpqAP8B7j28dkE1xU56VAosFk80MOxNHk4wSdpSCa
Qo7CdJ1v3CG0+rgUGoqlXe9SnQk5mFTaEXg3tPZtAFuA7OaGEcI3fZVzYfTdeSlQMmdYClfsp33g
UbMCrLPYDT2/P16hL91yTW4OoiZ6RrTswDW/j5okWDDFqEBoBJNT9LdxY3WvQOhrkjRQb7Eerxyo
t7sC3CqIbw7Hm6/3MVRQK3Y+H0RNxmHoYdPIFSzCo6yCxg3TEcrzvmPcPzjn/BOECaPGX5v/eEcI
bNZut/yto/F/KFuzg3ziaO36LzstSneVtalR/u4bfv+ANw2u/Xj93bcKccr9p+/7YOL//+u9VuVO
g+LNVw+aFLtXef3519/x49u9+7DDL3b4x7m7Spfp87rZfaF5fdObZYCa5X/7y2AZPq8+NuhETfHr
dT4qa/4svf78+FW9DF9W6eFZ5y//9Z+4oJM8GwDvTvB8f+Wsl2FzeNab53PAuj8/bDNy22EGuj87
W7ctO/lZ90eXqLAenvNmSUh4Oj97+Gd30J3earsW6/9pxwzxWnHb1oUI3P3d/eXLKjw86NfCmNx0
3R+eFmFWuc/e4Vlvnk+10P35RfgcBd9b1kaoCJ7g8anX9uxTHNPR8vsyTYvs8JpvVuYUp3S09F+q
le+3PF4//FuHLTlaBu275hRHdbRM81W6yg/v+WZpTnFaR8vsNytDVtp5z4xQdq6+Lw9PevPupzit
o/Uyb/W0EIlp93dfr9LIazH621lPnODxUbVsCTViBNj94f6yJbwLRtEJHr0qVz539uFZv/6oYqLd
/fmRXwTf20KBQJR0f3y6LNsivAAxdX84b75Kf7M4JzmtBZ7vedF2hYgqsvMvMF6mLSFe0K9O8OjS
fWlNlgRR4SSPb3l10Ybr/uwi9t2WoyrIJid4eNoawwSlp/PDJy/O6jc5gagvOz9/GuHkkK8PT/oV
CoQdcPenp0vsFlpX/hSndbbM8hYX5l3br/O7z5b5qiWdsU9xSv9o5dQ1v+bhYen6/sfDBEDgBH/U
WbpahW0PP8VJnRWu/xsjxlOc1fnSd38s68Mq/NzusJ8O/9YhjZwv03CVf0z0GMOe5OlNFUUvhye9
efdTHNX5ShTxbeEdlMXhM7uszZ8dNrtu+jmJ3uEt36zMKQ7rvHlpe/QprtTzdPXSVtXstHk6R7CL
5bPX+gcV1JDuT4/WYWv43Y0lT/D4sCX86vIpzunvzb+7bsOrVRi56WF1f21E+RRH9MqlPeB/TGN2
E7/OC369fG65SyFyHH6bDof/evnitu/EUxzQawrslhxDF7qA3ZfleRy11te6corL9Hr17PkrDE5T
5/Cyv3aNUP3s/gu4+fO6NcgIpFH3x0dh7kRBWzcSaPdJPiBqKWl0IcTT+eVvltn68Jg3y36Kw3qz
qv5jvgwj+rQtn3CKG/UmSkXzJG5LgXXlFMf2Nsz8qGp5/VOc2lvSVKflYlVOcWrvloHvPkcfX109
xaG9W2ZJEeXUNi0fcIoze7dLxloefooTe7dKk8JlJvSxukGz7fChHaI9H9Aa7AXRo/ORvXPbEmz1
FEf2LvLb/qCnOKv3tNsiP24JNuopDuq9+7wOopaOHmrnJ1jz++j7qv0veoqzeh89e27IjO+jtzHs
l5O8fluflgn0KZ5d5HSZ2ytWAVTsvN8fiPCta6+d4qg+PEd5a7cTUYRTvDwx0m8OD/p1w2qnOK4P
OTVfSwzTTnFgH+jTtr34KU7rQ7VsS1eFtVLn7fKZWzVr/HIZusvD496s+ynO6+cmTVvzSf0Uh/Ux
dNvKEP0Uh/VLKw4C4fPDSnW49L4u2xoQwnuy89/0K5PVlokHYMSTPDxbE31bk0j9FMf0KxPEwmnZ
jMK46ARr07T1IgW5v/uzXb81wOinOKhfXb81rAut1c5v/rR84Uo9POjX+TdOcUKfxClqiY3CePd/
efM2dNNPa56PmKeDI27bj73HdInvePZXy/Rf/wMAAP//</cx:binary>
              </cx:geoCache>
            </cx:geography>
          </cx:layoutPr>
        </cx:series>
      </cx:plotAreaRegion>
    </cx:plotArea>
    <cx:legend pos="r" align="min" overlay="0">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legend>
  </cx:chart>
  <cx:spPr>
    <a:ln>
      <a:solidFill>
        <a:schemeClr val="tx1"/>
      </a:solid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tx>
        <cx:txData>
          <cx:v>-  </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  </a:t>
          </a:r>
        </a:p>
      </cx:txPr>
    </cx:title>
    <cx:plotArea>
      <cx:plotAreaRegion>
        <cx:series layoutId="boxWhisker" uniqueId="{B33F7B3B-F3BD-4936-A253-0C3C5CBCA956}">
          <cx:spPr>
            <a:solidFill>
              <a:schemeClr val="accent2">
                <a:lumMod val="40000"/>
                <a:lumOff val="60000"/>
              </a:schemeClr>
            </a:solidFill>
          </cx:spPr>
          <cx:dataId val="0"/>
          <cx:layoutPr>
            <cx:visibility meanLine="0" meanMarker="1" nonoutliers="0"/>
            <cx:statistics quartileMethod="exclusive"/>
          </cx:layoutPr>
        </cx:series>
      </cx:plotAreaRegion>
      <cx:axis id="0" hidden="1">
        <cx:catScaling gapWidth="1"/>
        <cx:tickLabels/>
      </cx:axis>
      <cx:axis id="1">
        <cx:valScaling/>
        <cx:majorGridlines/>
        <cx:tickLabels/>
        <cx:numFmt formatCode="#,##0.00##_);" sourceLinked="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chart>
  <cx:spPr>
    <a:ln>
      <a:solidFill>
        <a:schemeClr val="tx1"/>
      </a:solidFill>
    </a:ln>
  </cx:spPr>
</cx: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trlProps/ctrlProp1.xml><?xml version="1.0" encoding="utf-8"?>
<formControlPr xmlns="http://schemas.microsoft.com/office/spreadsheetml/2009/9/main" objectType="Spin" dx="22" fmlaLink="$X$6" max="99" min="1" page="10" val="90"/>
</file>

<file path=xl/ctrlProps/ctrlProp2.xml><?xml version="1.0" encoding="utf-8"?>
<formControlPr xmlns="http://schemas.microsoft.com/office/spreadsheetml/2009/9/main" objectType="CheckBox" checked="Checked" fmlaLink="Settings!G25" lockText="1" noThreeD="1"/>
</file>

<file path=xl/ctrlProps/ctrlProp3.xml><?xml version="1.0" encoding="utf-8"?>
<formControlPr xmlns="http://schemas.microsoft.com/office/spreadsheetml/2009/9/main" objectType="CheckBox" checked="Checked" fmlaLink="Settings!$H$25" lockText="1" noThreeD="1"/>
</file>

<file path=xl/ctrlProps/ctrlProp4.xml><?xml version="1.0" encoding="utf-8"?>
<formControlPr xmlns="http://schemas.microsoft.com/office/spreadsheetml/2009/9/main" objectType="CheckBox" checked="Checked" fmlaLink="Settings!I25" lockText="1" noThreeD="1"/>
</file>

<file path=xl/ctrlProps/ctrlProp5.xml><?xml version="1.0" encoding="utf-8"?>
<formControlPr xmlns="http://schemas.microsoft.com/office/spreadsheetml/2009/9/main" objectType="CheckBox" checked="Checked" fmlaLink="Settings!$G$2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emf"/><Relationship Id="rId2" Type="http://schemas.microsoft.com/office/2014/relationships/chartEx" Target="../charts/chartEx2.xml"/><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16</xdr:col>
      <xdr:colOff>0</xdr:colOff>
      <xdr:row>21</xdr:row>
      <xdr:rowOff>100012</xdr:rowOff>
    </xdr:from>
    <xdr:to>
      <xdr:col>27</xdr:col>
      <xdr:colOff>0</xdr:colOff>
      <xdr:row>35</xdr:row>
      <xdr:rowOff>176212</xdr:rowOff>
    </xdr:to>
    <mc:AlternateContent xmlns:mc="http://schemas.openxmlformats.org/markup-compatibility/2006">
      <mc:Choice xmlns:cx4="http://schemas.microsoft.com/office/drawing/2016/5/10/chartex" Requires="cx4">
        <xdr:graphicFrame macro="">
          <xdr:nvGraphicFramePr>
            <xdr:cNvPr id="7" name="HEAT_MAP">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543300" y="4164012"/>
              <a:ext cx="87503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0</xdr:colOff>
      <xdr:row>6</xdr:row>
      <xdr:rowOff>180976</xdr:rowOff>
    </xdr:from>
    <xdr:to>
      <xdr:col>15</xdr:col>
      <xdr:colOff>21167</xdr:colOff>
      <xdr:row>35</xdr:row>
      <xdr:rowOff>171450</xdr:rowOff>
    </xdr:to>
    <mc:AlternateContent xmlns:mc="http://schemas.openxmlformats.org/markup-compatibility/2006">
      <mc:Choice xmlns:cx1="http://schemas.microsoft.com/office/drawing/2015/9/8/chartex" Requires="cx1">
        <xdr:graphicFrame macro="">
          <xdr:nvGraphicFramePr>
            <xdr:cNvPr id="3"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965200" y="1387476"/>
              <a:ext cx="2434167" cy="551497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133350</xdr:colOff>
      <xdr:row>7</xdr:row>
      <xdr:rowOff>71968</xdr:rowOff>
    </xdr:from>
    <xdr:to>
      <xdr:col>14</xdr:col>
      <xdr:colOff>790575</xdr:colOff>
      <xdr:row>8</xdr:row>
      <xdr:rowOff>142874</xdr:rowOff>
    </xdr:to>
    <xdr:sp macro="" textlink="Settings!$G$9">
      <xdr:nvSpPr>
        <xdr:cNvPr id="4" name="TextBox 2">
          <a:extLst>
            <a:ext uri="{FF2B5EF4-FFF2-40B4-BE49-F238E27FC236}">
              <a16:creationId xmlns:a16="http://schemas.microsoft.com/office/drawing/2014/main" id="{00000000-0008-0000-0000-000003000000}"/>
            </a:ext>
          </a:extLst>
        </xdr:cNvPr>
        <xdr:cNvSpPr txBox="1"/>
      </xdr:nvSpPr>
      <xdr:spPr>
        <a:xfrm>
          <a:off x="990600" y="1453093"/>
          <a:ext cx="1762125" cy="251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601EB6D-487F-47C5-8C4E-C4F4ED695302}" type="TxLink">
            <a:rPr lang="en-US" sz="1100" b="0" i="0" u="none" strike="noStrike">
              <a:solidFill>
                <a:srgbClr val="000000"/>
              </a:solidFill>
              <a:latin typeface="Calibri"/>
              <a:cs typeface="Calibri"/>
            </a:rPr>
            <a:pPr algn="ctr"/>
            <a:t>Boxplot of Detects Only *</a:t>
          </a:fld>
          <a:endParaRPr lang="en-US" sz="1400" b="1">
            <a:solidFill>
              <a:schemeClr val="tx1">
                <a:lumMod val="65000"/>
                <a:lumOff val="35000"/>
              </a:schemeClr>
            </a:solidFill>
          </a:endParaRPr>
        </a:p>
      </xdr:txBody>
    </xdr:sp>
    <xdr:clientData/>
  </xdr:twoCellAnchor>
  <xdr:twoCellAnchor>
    <xdr:from>
      <xdr:col>23</xdr:col>
      <xdr:colOff>123825</xdr:colOff>
      <xdr:row>34</xdr:row>
      <xdr:rowOff>66675</xdr:rowOff>
    </xdr:from>
    <xdr:to>
      <xdr:col>26</xdr:col>
      <xdr:colOff>447675</xdr:colOff>
      <xdr:row>35</xdr:row>
      <xdr:rowOff>114300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7839075" y="6334125"/>
          <a:ext cx="24384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xdr:from>
          <xdr:col>23</xdr:col>
          <xdr:colOff>838200</xdr:colOff>
          <xdr:row>4</xdr:row>
          <xdr:rowOff>114300</xdr:rowOff>
        </xdr:from>
        <xdr:to>
          <xdr:col>24</xdr:col>
          <xdr:colOff>25400</xdr:colOff>
          <xdr:row>6</xdr:row>
          <xdr:rowOff>76200</xdr:rowOff>
        </xdr:to>
        <xdr:sp macro="" textlink="">
          <xdr:nvSpPr>
            <xdr:cNvPr id="1032" name="Spinner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16</xdr:col>
      <xdr:colOff>66675</xdr:colOff>
      <xdr:row>33</xdr:row>
      <xdr:rowOff>142875</xdr:rowOff>
    </xdr:from>
    <xdr:to>
      <xdr:col>22</xdr:col>
      <xdr:colOff>142875</xdr:colOff>
      <xdr:row>35</xdr:row>
      <xdr:rowOff>38100</xdr:rowOff>
    </xdr:to>
    <xdr:sp macro="" textlink="Settings!$G$22">
      <xdr:nvSpPr>
        <xdr:cNvPr id="10" name="TextBox 9">
          <a:extLst>
            <a:ext uri="{FF2B5EF4-FFF2-40B4-BE49-F238E27FC236}">
              <a16:creationId xmlns:a16="http://schemas.microsoft.com/office/drawing/2014/main" id="{00000000-0008-0000-0000-00000A000000}"/>
            </a:ext>
          </a:extLst>
        </xdr:cNvPr>
        <xdr:cNvSpPr txBox="1"/>
      </xdr:nvSpPr>
      <xdr:spPr>
        <a:xfrm>
          <a:off x="3086100" y="6229350"/>
          <a:ext cx="37909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62AA744-4ADC-4E0A-8B79-E76E581D2EDA}" type="TxLink">
            <a:rPr lang="en-US" sz="1100" b="0" i="0" u="none" strike="noStrike">
              <a:solidFill>
                <a:srgbClr val="000000"/>
              </a:solidFill>
              <a:latin typeface="Calibri"/>
              <a:cs typeface="Calibri"/>
            </a:rPr>
            <a:pPr algn="l"/>
            <a:t>[Counties shown as grey have no data for "lead"]</a:t>
          </a:fld>
          <a:endParaRPr lang="en-US" sz="1100" b="0" baseline="0">
            <a:solidFill>
              <a:schemeClr val="tx1">
                <a:lumMod val="65000"/>
                <a:lumOff val="3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25</xdr:col>
          <xdr:colOff>558800</xdr:colOff>
          <xdr:row>16</xdr:row>
          <xdr:rowOff>101600</xdr:rowOff>
        </xdr:from>
        <xdr:to>
          <xdr:col>26</xdr:col>
          <xdr:colOff>304800</xdr:colOff>
          <xdr:row>17</xdr:row>
          <xdr:rowOff>127000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Sediment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558800</xdr:colOff>
          <xdr:row>17</xdr:row>
          <xdr:rowOff>165100</xdr:rowOff>
        </xdr:from>
        <xdr:to>
          <xdr:col>26</xdr:col>
          <xdr:colOff>304800</xdr:colOff>
          <xdr:row>19</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Surface Soil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558800</xdr:colOff>
          <xdr:row>19</xdr:row>
          <xdr:rowOff>50800</xdr:rowOff>
        </xdr:from>
        <xdr:to>
          <xdr:col>26</xdr:col>
          <xdr:colOff>304800</xdr:colOff>
          <xdr:row>20</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Soil Boring</a:t>
              </a:r>
            </a:p>
          </xdr:txBody>
        </xdr:sp>
        <xdr:clientData fLocksWithSheet="0"/>
      </xdr:twoCellAnchor>
    </mc:Choice>
    <mc:Fallback/>
  </mc:AlternateContent>
  <xdr:twoCellAnchor>
    <xdr:from>
      <xdr:col>19</xdr:col>
      <xdr:colOff>171450</xdr:colOff>
      <xdr:row>21</xdr:row>
      <xdr:rowOff>152401</xdr:rowOff>
    </xdr:from>
    <xdr:to>
      <xdr:col>24</xdr:col>
      <xdr:colOff>38100</xdr:colOff>
      <xdr:row>24</xdr:row>
      <xdr:rowOff>66675</xdr:rowOff>
    </xdr:to>
    <xdr:sp macro="" textlink="Settings!$G$3">
      <xdr:nvSpPr>
        <xdr:cNvPr id="8" name="MAP_TITLE">
          <a:extLst>
            <a:ext uri="{FF2B5EF4-FFF2-40B4-BE49-F238E27FC236}">
              <a16:creationId xmlns:a16="http://schemas.microsoft.com/office/drawing/2014/main" id="{00000000-0008-0000-0000-000008000000}"/>
            </a:ext>
          </a:extLst>
        </xdr:cNvPr>
        <xdr:cNvSpPr txBox="1"/>
      </xdr:nvSpPr>
      <xdr:spPr>
        <a:xfrm>
          <a:off x="5292090" y="4091941"/>
          <a:ext cx="3829050" cy="46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1767AEF-B04D-4A0E-8569-6847C1C3FD4F}" type="TxLink">
            <a:rPr lang="en-US" sz="1100" b="0" i="0" u="none" strike="noStrike">
              <a:solidFill>
                <a:srgbClr val="000000"/>
              </a:solidFill>
              <a:latin typeface="Calibri"/>
              <a:cs typeface="Calibri"/>
            </a:rPr>
            <a:pPr algn="ctr"/>
            <a:t>Median "Lead" by County *
[All Data]</a:t>
          </a:fld>
          <a:endParaRPr lang="en-US" sz="1200" b="1">
            <a:solidFill>
              <a:schemeClr val="tx1">
                <a:lumMod val="65000"/>
                <a:lumOff val="3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15</xdr:col>
          <xdr:colOff>143838</xdr:colOff>
          <xdr:row>21</xdr:row>
          <xdr:rowOff>99059</xdr:rowOff>
        </xdr:from>
        <xdr:to>
          <xdr:col>27</xdr:col>
          <xdr:colOff>11250</xdr:colOff>
          <xdr:row>36</xdr:row>
          <xdr:rowOff>3753</xdr:rowOff>
        </xdr:to>
        <xdr:pic>
          <xdr:nvPicPr>
            <xdr:cNvPr id="14" name="LOGO_OVERLAY">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NCDEQ_LOGO" spid="_x0000_s1185"/>
                </a:ext>
              </a:extLst>
            </xdr:cNvPicPr>
          </xdr:nvPicPr>
          <xdr:blipFill>
            <a:blip xmlns:r="http://schemas.openxmlformats.org/officeDocument/2006/relationships" r:embed="rId3"/>
            <a:srcRect/>
            <a:stretch>
              <a:fillRect/>
            </a:stretch>
          </xdr:blipFill>
          <xdr:spPr bwMode="auto">
            <a:xfrm>
              <a:off x="3191838" y="4038599"/>
              <a:ext cx="7936992" cy="26478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127000</xdr:rowOff>
        </xdr:from>
        <xdr:to>
          <xdr:col>16</xdr:col>
          <xdr:colOff>838200</xdr:colOff>
          <xdr:row>23</xdr:row>
          <xdr:rowOff>76200</xdr:rowOff>
        </xdr:to>
        <xdr:sp macro="" textlink="">
          <xdr:nvSpPr>
            <xdr:cNvPr id="1040" name="MAP_CHECKBOX"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16</xdr:col>
      <xdr:colOff>213360</xdr:colOff>
      <xdr:row>21</xdr:row>
      <xdr:rowOff>137160</xdr:rowOff>
    </xdr:from>
    <xdr:to>
      <xdr:col>17</xdr:col>
      <xdr:colOff>281940</xdr:colOff>
      <xdr:row>23</xdr:row>
      <xdr:rowOff>76200</xdr:rowOff>
    </xdr:to>
    <xdr:sp macro="" textlink="">
      <xdr:nvSpPr>
        <xdr:cNvPr id="5" name="MAP_CHECKBOX_LABEL">
          <a:extLst>
            <a:ext uri="{FF2B5EF4-FFF2-40B4-BE49-F238E27FC236}">
              <a16:creationId xmlns:a16="http://schemas.microsoft.com/office/drawing/2014/main" id="{00000000-0008-0000-0000-000004000000}"/>
            </a:ext>
          </a:extLst>
        </xdr:cNvPr>
        <xdr:cNvSpPr txBox="1"/>
      </xdr:nvSpPr>
      <xdr:spPr>
        <a:xfrm>
          <a:off x="3406140" y="4076700"/>
          <a:ext cx="93726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t>Show</a:t>
          </a:r>
          <a:r>
            <a:rPr lang="en-US" sz="1200" b="1" baseline="0"/>
            <a:t> Map</a:t>
          </a:r>
          <a:endParaRPr lang="en-US"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3703320</xdr:colOff>
      <xdr:row>3</xdr:row>
      <xdr:rowOff>68580</xdr:rowOff>
    </xdr:from>
    <xdr:to>
      <xdr:col>15</xdr:col>
      <xdr:colOff>5638800</xdr:colOff>
      <xdr:row>13</xdr:row>
      <xdr:rowOff>175260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6260" y="617220"/>
          <a:ext cx="1935480" cy="1935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79FCF-8786-4138-9E72-9739B12E7C48}">
  <sheetPr>
    <tabColor theme="4" tint="0.59999389629810485"/>
    <pageSetUpPr fitToPage="1"/>
  </sheetPr>
  <dimension ref="A1:AE859"/>
  <sheetViews>
    <sheetView showGridLines="0" showRowColHeaders="0" tabSelected="1" topLeftCell="J6" zoomScale="80" zoomScaleNormal="80" workbookViewId="0">
      <selection activeCell="U6" sqref="U6"/>
    </sheetView>
  </sheetViews>
  <sheetFormatPr baseColWidth="10" defaultColWidth="8.83203125" defaultRowHeight="15" outlineLevelCol="1" x14ac:dyDescent="0.2"/>
  <cols>
    <col min="1" max="1" width="9.1640625" style="1" hidden="1" customWidth="1" outlineLevel="1"/>
    <col min="2" max="3" width="13.1640625" hidden="1" customWidth="1" outlineLevel="1"/>
    <col min="4" max="4" width="9.5" style="48" hidden="1" customWidth="1" outlineLevel="1"/>
    <col min="5" max="5" width="9.5" style="48" hidden="1" customWidth="1" outlineLevel="1" collapsed="1"/>
    <col min="6" max="6" width="9.5" hidden="1" customWidth="1" outlineLevel="1" collapsed="1"/>
    <col min="7" max="7" width="9.1640625" hidden="1" customWidth="1" outlineLevel="1" collapsed="1"/>
    <col min="8" max="8" width="9.1640625" hidden="1" customWidth="1" outlineLevel="1"/>
    <col min="9" max="9" width="11.5" style="46" hidden="1" customWidth="1" outlineLevel="1"/>
    <col min="10" max="10" width="9.1640625" collapsed="1"/>
    <col min="11" max="11" width="3.5" customWidth="1"/>
    <col min="12" max="12" width="2.5" customWidth="1"/>
    <col min="13" max="13" width="13.1640625" customWidth="1"/>
    <col min="14" max="14" width="2.5" customWidth="1"/>
    <col min="15" max="15" width="13.5" customWidth="1"/>
    <col min="16" max="16" width="2.1640625" customWidth="1"/>
    <col min="17" max="17" width="12.5" customWidth="1"/>
    <col min="18" max="18" width="13.5" customWidth="1"/>
    <col min="19" max="19" width="2.1640625" customWidth="1"/>
    <col min="20" max="21" width="12.5" customWidth="1"/>
    <col min="22" max="22" width="2.1640625" customWidth="1"/>
    <col min="23" max="23" width="15.5" customWidth="1"/>
    <col min="24" max="24" width="14.5" customWidth="1"/>
    <col min="25" max="25" width="2.5" customWidth="1"/>
    <col min="26" max="26" width="16.5" customWidth="1"/>
    <col min="27" max="27" width="10.5" customWidth="1"/>
    <col min="28" max="28" width="3.5" customWidth="1"/>
    <col min="31" max="31" width="10.5" bestFit="1" customWidth="1"/>
  </cols>
  <sheetData>
    <row r="1" spans="1:31" s="111" customFormat="1" ht="14.25" customHeight="1" x14ac:dyDescent="0.2">
      <c r="A1" s="110"/>
      <c r="D1" s="112"/>
      <c r="E1" s="112"/>
      <c r="I1" s="113"/>
    </row>
    <row r="2" spans="1:31" s="111" customFormat="1" ht="18.75" customHeight="1" x14ac:dyDescent="0.3">
      <c r="A2" s="110"/>
      <c r="D2" s="112"/>
      <c r="E2" s="112"/>
      <c r="I2" s="113"/>
      <c r="K2" s="157" t="s">
        <v>0</v>
      </c>
      <c r="L2" s="157"/>
      <c r="M2" s="157"/>
      <c r="N2" s="157"/>
      <c r="O2" s="157"/>
      <c r="P2" s="157"/>
      <c r="Q2" s="157"/>
      <c r="R2" s="157"/>
      <c r="S2" s="157"/>
      <c r="T2" s="157"/>
      <c r="U2" s="157"/>
      <c r="V2" s="157"/>
      <c r="W2" s="157"/>
      <c r="X2" s="157"/>
      <c r="Y2" s="157"/>
      <c r="Z2" s="157"/>
      <c r="AA2" s="157"/>
      <c r="AB2" s="157"/>
    </row>
    <row r="3" spans="1:31" s="111" customFormat="1" ht="18.75" customHeight="1" x14ac:dyDescent="0.25">
      <c r="A3" s="110"/>
      <c r="D3" s="112"/>
      <c r="E3" s="112"/>
      <c r="I3" s="113"/>
      <c r="K3" s="158" t="s">
        <v>1</v>
      </c>
      <c r="L3" s="158"/>
      <c r="M3" s="158"/>
      <c r="N3" s="158"/>
      <c r="O3" s="158"/>
      <c r="P3" s="158"/>
      <c r="Q3" s="158"/>
      <c r="R3" s="158"/>
      <c r="S3" s="158"/>
      <c r="T3" s="158"/>
      <c r="U3" s="158"/>
      <c r="V3" s="158"/>
      <c r="W3" s="158"/>
      <c r="X3" s="158"/>
      <c r="Y3" s="158"/>
      <c r="Z3" s="158"/>
      <c r="AA3" s="158"/>
      <c r="AB3" s="158"/>
    </row>
    <row r="4" spans="1:31" ht="15" customHeight="1" thickBot="1" x14ac:dyDescent="0.25">
      <c r="D4" s="159" t="s">
        <v>2</v>
      </c>
      <c r="E4" s="160"/>
      <c r="F4" s="161"/>
    </row>
    <row r="5" spans="1:31" ht="15" customHeight="1" x14ac:dyDescent="0.2">
      <c r="A5" s="45" t="s">
        <v>3</v>
      </c>
      <c r="B5" s="45" t="s">
        <v>4</v>
      </c>
      <c r="C5" s="45" t="s">
        <v>5</v>
      </c>
      <c r="D5" s="105" t="s">
        <v>6</v>
      </c>
      <c r="E5" s="105" t="s">
        <v>7</v>
      </c>
      <c r="F5" s="145" t="s">
        <v>8</v>
      </c>
      <c r="G5" s="45" t="s">
        <v>9</v>
      </c>
      <c r="H5" s="45" t="s">
        <v>10</v>
      </c>
      <c r="I5" s="47" t="s">
        <v>11</v>
      </c>
      <c r="K5" s="50"/>
      <c r="L5" s="51"/>
      <c r="M5" s="51"/>
      <c r="N5" s="51"/>
      <c r="O5" s="51"/>
      <c r="P5" s="51"/>
      <c r="Q5" s="51"/>
      <c r="R5" s="51"/>
      <c r="S5" s="51"/>
      <c r="T5" s="51"/>
      <c r="U5" s="51"/>
      <c r="V5" s="51"/>
      <c r="W5" s="51"/>
      <c r="X5" s="51"/>
      <c r="Y5" s="51"/>
      <c r="Z5" s="51"/>
      <c r="AA5" s="51"/>
      <c r="AB5" s="52"/>
    </row>
    <row r="6" spans="1:31" ht="15" customHeight="1" x14ac:dyDescent="0.2">
      <c r="A6" s="1">
        <v>1</v>
      </c>
      <c r="B6" t="str">
        <f>IF(ISERROR(MATCH(TRIM('Data Table'!D3),Settings!$G$15:$G$20,0)),TRIM('Data Table'!D3),LOOKUP(TRIM('Data Table'!D3),Settings!$G$15:$G$20,Settings!$H$15:$H$20))</f>
        <v>Forsyth</v>
      </c>
      <c r="C6" t="str">
        <f>IF('Data Table'!F3="","SS",IF('Data Table'!F3="SF","SD",TRIM('Data Table'!F3)))</f>
        <v>SD</v>
      </c>
      <c r="D6" s="106" t="str">
        <f ca="1">IF(ISBLANK(OFFSET('Data Table'!$A1,2,Settings!$G$5-1)),"",OFFSET('Data Table'!$A1,2,Settings!$G$5-1))</f>
        <v/>
      </c>
      <c r="E6" s="106">
        <f ca="1">IF(ISBLANK(OFFSET('Data Table'!$A1,2,Settings!$G$5)),"",OFFSET('Data Table'!$A1,2,Settings!$G$5))</f>
        <v>5.6159999999999997</v>
      </c>
      <c r="F6" s="143" t="str">
        <f ca="1">IF(ISBLANK(OFFSET('Data Table'!$A1,2,Settings!$G$5+1)),"",OFFSET('Data Table'!$A1,2,Settings!$G$5+1))</f>
        <v/>
      </c>
      <c r="G6">
        <f t="shared" ref="G6:G69" ca="1" si="0">IF(COUNTIF(SOIL_DEPTH,C6)=0,"",IF(OR(D6="#",E6="#",F6="#"),-999,IF(AND(D6="",E6="",F6=""),-888,IF(COUNT(D6:F6)&gt;1,"ERROR",MAX(D6:F6)))))</f>
        <v>5.6159999999999997</v>
      </c>
      <c r="H6">
        <f ca="1">IF(G6=-888,"",IF(G6=-999,Settings!$G$4,IF(AND($AA$6="Excluded",G6&gt;=Settings!$G$2),"",G6)))</f>
        <v>5.6159999999999997</v>
      </c>
      <c r="I6">
        <f ca="1">IF(OR(G6=-999,G6=-888,AND($AA$6="Excluded",G6&gt;=Settings!$G$2)),"",G6)</f>
        <v>5.6159999999999997</v>
      </c>
      <c r="K6" s="53"/>
      <c r="L6" s="115"/>
      <c r="M6" s="114" t="s">
        <v>12</v>
      </c>
      <c r="N6" s="116"/>
      <c r="O6" s="117" t="str" cm="1">
        <f t="array" aca="1" ref="O6" ca="1">INDIRECT(ADDRESS(2,MATCH(M6,Outliers!B1:S1,0)+1,,,"OUTLIERS")) &amp; " (units in mg/kg)"</f>
        <v>Lead (units in mg/kg)</v>
      </c>
      <c r="P6" s="118"/>
      <c r="Q6" s="118"/>
      <c r="R6" s="118"/>
      <c r="S6" s="118"/>
      <c r="T6" s="118" t="s">
        <v>13</v>
      </c>
      <c r="U6" s="130" t="s">
        <v>14</v>
      </c>
      <c r="V6" s="118"/>
      <c r="W6" s="119" t="s">
        <v>15</v>
      </c>
      <c r="X6" s="131">
        <v>90</v>
      </c>
      <c r="Y6" s="118"/>
      <c r="Z6" s="119" t="s">
        <v>16</v>
      </c>
      <c r="AA6" s="123" t="s">
        <v>17</v>
      </c>
      <c r="AB6" s="54"/>
    </row>
    <row r="7" spans="1:31" ht="15" customHeight="1" x14ac:dyDescent="0.2">
      <c r="A7" s="1">
        <v>2</v>
      </c>
      <c r="B7" t="str">
        <f>IF(ISERROR(MATCH(TRIM('Data Table'!D4),Settings!$G$15:$G$20,0)),TRIM('Data Table'!D4),LOOKUP(TRIM('Data Table'!D4),Settings!$G$15:$G$20,Settings!$H$15:$H$20))</f>
        <v>Guilford</v>
      </c>
      <c r="C7" t="str">
        <f>IF('Data Table'!F4="","SS",IF('Data Table'!F4="SF","SD",TRIM('Data Table'!F4)))</f>
        <v>SS</v>
      </c>
      <c r="D7" s="106">
        <f ca="1">IF(ISBLANK(OFFSET('Data Table'!$A2,2,Settings!$G$5-1)),"",OFFSET('Data Table'!$A2,2,Settings!$G$5-1))</f>
        <v>23</v>
      </c>
      <c r="E7" s="106" t="str">
        <f ca="1">IF(ISBLANK(OFFSET('Data Table'!$A2,2,Settings!$G$5)),"",OFFSET('Data Table'!$A2,2,Settings!$G$5))</f>
        <v/>
      </c>
      <c r="F7" s="143" t="str">
        <f ca="1">IF(ISBLANK(OFFSET('Data Table'!$A2,2,Settings!$G$5+1)),"",OFFSET('Data Table'!$A2,2,Settings!$G$5+1))</f>
        <v/>
      </c>
      <c r="G7">
        <f t="shared" ca="1" si="0"/>
        <v>23</v>
      </c>
      <c r="H7">
        <f ca="1">IF(G7=-888,"",IF(G7=-999,Settings!$G$4,IF(AND($AA$6="Excluded",G7&gt;=Settings!$G$2),"",G7)))</f>
        <v>23</v>
      </c>
      <c r="I7">
        <f ca="1">IF(OR(G7=-999,G7=-888,AND($AA$6="Excluded",G7&gt;=Settings!$G$2)),"",G7)</f>
        <v>23</v>
      </c>
      <c r="K7" s="53"/>
      <c r="L7" s="49"/>
      <c r="M7" s="49"/>
      <c r="N7" s="49"/>
      <c r="O7" s="49"/>
      <c r="P7" s="49"/>
      <c r="Q7" s="49"/>
      <c r="R7" s="49"/>
      <c r="S7" s="49"/>
      <c r="T7" s="49"/>
      <c r="U7" s="90"/>
      <c r="V7" s="49"/>
      <c r="W7" s="49"/>
      <c r="X7" s="49"/>
      <c r="Y7" s="49"/>
      <c r="Z7" s="49"/>
      <c r="AA7" s="49"/>
      <c r="AB7" s="54"/>
    </row>
    <row r="8" spans="1:31" ht="15" customHeight="1" x14ac:dyDescent="0.2">
      <c r="A8" s="1">
        <v>3</v>
      </c>
      <c r="B8" t="str">
        <f>IF(ISERROR(MATCH(TRIM('Data Table'!D5),Settings!$G$15:$G$20,0)),TRIM('Data Table'!D5),LOOKUP(TRIM('Data Table'!D5),Settings!$G$15:$G$20,Settings!$H$15:$H$20))</f>
        <v>Guilford</v>
      </c>
      <c r="C8" t="str">
        <f>IF('Data Table'!F5="","SS",IF('Data Table'!F5="SF","SD",TRIM('Data Table'!F5)))</f>
        <v>SD</v>
      </c>
      <c r="D8" s="106">
        <f ca="1">IF(ISBLANK(OFFSET('Data Table'!$A3,2,Settings!$G$5-1)),"",OFFSET('Data Table'!$A3,2,Settings!$G$5-1))</f>
        <v>3</v>
      </c>
      <c r="E8" s="106" t="str">
        <f ca="1">IF(ISBLANK(OFFSET('Data Table'!$A3,2,Settings!$G$5)),"",OFFSET('Data Table'!$A3,2,Settings!$G$5))</f>
        <v/>
      </c>
      <c r="F8" s="143" t="str">
        <f ca="1">IF(ISBLANK(OFFSET('Data Table'!$A3,2,Settings!$G$5+1)),"",OFFSET('Data Table'!$A3,2,Settings!$G$5+1))</f>
        <v/>
      </c>
      <c r="G8">
        <f t="shared" ca="1" si="0"/>
        <v>3</v>
      </c>
      <c r="H8">
        <f ca="1">IF(G8=-888,"",IF(G8=-999,Settings!$G$4,IF(AND($AA$6="Excluded",G8&gt;=Settings!$G$2),"",G8)))</f>
        <v>3</v>
      </c>
      <c r="I8">
        <f ca="1">IF(OR(G8=-999,G8=-888,AND($AA$6="Excluded",G8&gt;=Settings!$G$2)),"",G8)</f>
        <v>3</v>
      </c>
      <c r="K8" s="53"/>
      <c r="L8" s="49"/>
      <c r="P8" s="49"/>
      <c r="Q8" s="162" t="str">
        <f xml:space="preserve"> "Boxplot of Detects *"</f>
        <v>Boxplot of Detects *</v>
      </c>
      <c r="R8" s="163"/>
      <c r="S8" s="49"/>
      <c r="T8" s="162" t="s">
        <v>18</v>
      </c>
      <c r="U8" s="163"/>
      <c r="V8" s="49"/>
      <c r="W8" s="164" t="str">
        <f>Settings!$G$12</f>
        <v>Nonparametrics [All Data] *</v>
      </c>
      <c r="X8" s="165"/>
      <c r="Y8" s="49"/>
      <c r="Z8" s="162" t="str">
        <f ca="1">"Walsh Outliers [&gt;=" &amp; TEXT(Settings!$G$2,"#,##0.00") &amp;"]"</f>
        <v>Walsh Outliers [&gt;=1,291.00]</v>
      </c>
      <c r="AA8" s="163"/>
      <c r="AB8" s="54"/>
    </row>
    <row r="9" spans="1:31" ht="15" customHeight="1" x14ac:dyDescent="0.2">
      <c r="A9" s="1">
        <v>4</v>
      </c>
      <c r="B9" t="str">
        <f>IF(ISERROR(MATCH(TRIM('Data Table'!D6),Settings!$G$15:$G$20,0)),TRIM('Data Table'!D6),LOOKUP(TRIM('Data Table'!D6),Settings!$G$15:$G$20,Settings!$H$15:$H$20))</f>
        <v>Guilford</v>
      </c>
      <c r="C9" t="str">
        <f>IF('Data Table'!F6="","SS",IF('Data Table'!F6="SF","SD",TRIM('Data Table'!F6)))</f>
        <v>SD</v>
      </c>
      <c r="D9" s="106">
        <f ca="1">IF(ISBLANK(OFFSET('Data Table'!$A4,2,Settings!$G$5-1)),"",OFFSET('Data Table'!$A4,2,Settings!$G$5-1))</f>
        <v>3</v>
      </c>
      <c r="E9" s="106" t="str">
        <f ca="1">IF(ISBLANK(OFFSET('Data Table'!$A4,2,Settings!$G$5)),"",OFFSET('Data Table'!$A4,2,Settings!$G$5))</f>
        <v/>
      </c>
      <c r="F9" s="143" t="str">
        <f ca="1">IF(ISBLANK(OFFSET('Data Table'!$A4,2,Settings!$G$5+1)),"",OFFSET('Data Table'!$A4,2,Settings!$G$5+1))</f>
        <v/>
      </c>
      <c r="G9">
        <f t="shared" ca="1" si="0"/>
        <v>3</v>
      </c>
      <c r="H9">
        <f ca="1">IF(G9=-888,"",IF(G9=-999,Settings!$G$4,IF(AND($AA$6="Excluded",G9&gt;=Settings!$G$2),"",G9)))</f>
        <v>3</v>
      </c>
      <c r="I9">
        <f ca="1">IF(OR(G9=-999,G9=-888,AND($AA$6="Excluded",G9&gt;=Settings!$G$2)),"",G9)</f>
        <v>3</v>
      </c>
      <c r="K9" s="53"/>
      <c r="L9" s="49"/>
      <c r="P9" s="49"/>
      <c r="Q9" s="120" t="s">
        <v>19</v>
      </c>
      <c r="R9" s="122" t="s">
        <v>20</v>
      </c>
      <c r="S9" s="49"/>
      <c r="T9" s="40" t="s">
        <v>19</v>
      </c>
      <c r="U9" s="41" t="s">
        <v>20</v>
      </c>
      <c r="V9" s="49"/>
      <c r="W9" s="120" t="s">
        <v>19</v>
      </c>
      <c r="X9" s="121" t="s">
        <v>20</v>
      </c>
      <c r="Y9" s="49"/>
      <c r="Z9" s="59" t="s">
        <v>20</v>
      </c>
      <c r="AA9" s="60" t="s">
        <v>21</v>
      </c>
      <c r="AB9" s="54"/>
    </row>
    <row r="10" spans="1:31" ht="15" customHeight="1" x14ac:dyDescent="0.2">
      <c r="A10" s="1">
        <v>5</v>
      </c>
      <c r="B10" t="str">
        <f>IF(ISERROR(MATCH(TRIM('Data Table'!D7),Settings!$G$15:$G$20,0)),TRIM('Data Table'!D7),LOOKUP(TRIM('Data Table'!D7),Settings!$G$15:$G$20,Settings!$H$15:$H$20))</f>
        <v>Hertford</v>
      </c>
      <c r="C10" t="str">
        <f>IF('Data Table'!F7="","SS",IF('Data Table'!F7="SF","SD",TRIM('Data Table'!F7)))</f>
        <v>SS</v>
      </c>
      <c r="D10" s="106">
        <f ca="1">IF(ISBLANK(OFFSET('Data Table'!$A5,2,Settings!$G$5-1)),"",OFFSET('Data Table'!$A5,2,Settings!$G$5-1))</f>
        <v>17</v>
      </c>
      <c r="E10" s="106" t="str">
        <f ca="1">IF(ISBLANK(OFFSET('Data Table'!$A5,2,Settings!$G$5)),"",OFFSET('Data Table'!$A5,2,Settings!$G$5))</f>
        <v/>
      </c>
      <c r="F10" s="143" t="str">
        <f ca="1">IF(ISBLANK(OFFSET('Data Table'!$A5,2,Settings!$G$5+1)),"",OFFSET('Data Table'!$A5,2,Settings!$G$5+1))</f>
        <v/>
      </c>
      <c r="G10">
        <f t="shared" ca="1" si="0"/>
        <v>17</v>
      </c>
      <c r="H10">
        <f ca="1">IF(G10=-888,"",IF(G10=-999,Settings!$G$4,IF(AND($AA$6="Excluded",G10&gt;=Settings!$G$2),"",G10)))</f>
        <v>17</v>
      </c>
      <c r="I10">
        <f ca="1">IF(OR(G10=-999,G10=-888,AND($AA$6="Excluded",G10&gt;=Settings!$G$2)),"",G10)</f>
        <v>17</v>
      </c>
      <c r="K10" s="53"/>
      <c r="L10" s="49"/>
      <c r="P10" s="49"/>
      <c r="Q10" s="96" t="s">
        <v>22</v>
      </c>
      <c r="R10" s="95">
        <f ca="1">_xlfn.QUARTILE.EXC(DETECT_DATA,1)</f>
        <v>7.1</v>
      </c>
      <c r="S10" s="49"/>
      <c r="T10" s="82" t="s">
        <v>23</v>
      </c>
      <c r="U10" s="100">
        <f ca="1">SUM(U11:U13)</f>
        <v>852</v>
      </c>
      <c r="V10" s="49"/>
      <c r="W10" s="82" t="s">
        <v>24</v>
      </c>
      <c r="X10" s="95">
        <f ca="1">IF($U$6="Included",IF(AND(MEDIAN(ALL_DATA)=MIN(DETECT_DATA),COUNTIF(DETECT_DATA,MIN(DETECT_DATA))&lt;$U$12),"Non-detect  ",MEDIAN(ALL_DATA)),MEDIAN(DETECT_DATA))</f>
        <v>14</v>
      </c>
      <c r="Y10" s="49"/>
      <c r="Z10" s="134" cm="1">
        <f t="array" aca="1" ref="Z10:Z11" ca="1">IF(COUNTIF(RAW_DATA,"&gt;="&amp;Settings!$G$2)=0,"",_xlfn.UNIQUE(_xlfn._xlws.SORT(_xlfn._xlws.FILTER(RAW_DATA,(RAW_DATA&gt;=Settings!$G$2)*(RAW_DATA&lt;&gt;"")),1,-1)))</f>
        <v>39700</v>
      </c>
      <c r="AA10" s="136">
        <f ca="1">IF(OR(Z10&lt;Settings!$G$2,COUNTIF(RAW_DATA,"&gt;="&amp;Settings!$G$2)=0),"",COUNTIF(RAW_DATA,Z10))</f>
        <v>1</v>
      </c>
      <c r="AB10" s="54"/>
    </row>
    <row r="11" spans="1:31" ht="15" customHeight="1" x14ac:dyDescent="0.2">
      <c r="A11" s="1">
        <v>6</v>
      </c>
      <c r="B11" t="str">
        <f>IF(ISERROR(MATCH(TRIM('Data Table'!D8),Settings!$G$15:$G$20,0)),TRIM('Data Table'!D8),LOOKUP(TRIM('Data Table'!D8),Settings!$G$15:$G$20,Settings!$H$15:$H$20))</f>
        <v>Forsyth</v>
      </c>
      <c r="C11" t="str">
        <f>IF('Data Table'!F8="","SS",IF('Data Table'!F8="SF","SD",TRIM('Data Table'!F8)))</f>
        <v>SB</v>
      </c>
      <c r="D11" s="106">
        <f ca="1">IF(ISBLANK(OFFSET('Data Table'!$A6,2,Settings!$G$5-1)),"",OFFSET('Data Table'!$A6,2,Settings!$G$5-1))</f>
        <v>7.6</v>
      </c>
      <c r="E11" s="106" t="str">
        <f ca="1">IF(ISBLANK(OFFSET('Data Table'!$A6,2,Settings!$G$5)),"",OFFSET('Data Table'!$A6,2,Settings!$G$5))</f>
        <v/>
      </c>
      <c r="F11" s="143" t="str">
        <f ca="1">IF(ISBLANK(OFFSET('Data Table'!$A6,2,Settings!$G$5+1)),"",OFFSET('Data Table'!$A6,2,Settings!$G$5+1))</f>
        <v/>
      </c>
      <c r="G11">
        <f t="shared" ca="1" si="0"/>
        <v>7.6</v>
      </c>
      <c r="H11">
        <f ca="1">IF(G11=-888,"",IF(G11=-999,Settings!$G$4,IF(AND($AA$6="Excluded",G11&gt;=Settings!$G$2),"",G11)))</f>
        <v>7.6</v>
      </c>
      <c r="I11">
        <f ca="1">IF(OR(G11=-999,G11=-888,AND($AA$6="Excluded",G11&gt;=Settings!$G$2)),"",G11)</f>
        <v>7.6</v>
      </c>
      <c r="K11" s="53"/>
      <c r="L11" s="49"/>
      <c r="P11" s="49"/>
      <c r="Q11" s="97" t="s">
        <v>25</v>
      </c>
      <c r="R11" s="98">
        <f ca="1">MEDIAN(DETECT_DATA)</f>
        <v>15</v>
      </c>
      <c r="S11" s="49"/>
      <c r="T11" s="68" t="s">
        <v>26</v>
      </c>
      <c r="U11" s="101">
        <f ca="1">COUNTIFS(RAW_DATA,"&lt;&gt;-999",RAW_DATA,"&lt;&gt;-888") - COUNTIF(RAW_DATA,"")</f>
        <v>800</v>
      </c>
      <c r="V11" s="49"/>
      <c r="W11" s="132" t="str">
        <f>$X$6 &amp; Settings!G11 &amp;  " % "</f>
        <v xml:space="preserve">90th % </v>
      </c>
      <c r="X11" s="133">
        <f ca="1">IF($U$6="Included",IF(AND(_xlfn.PERCENTILE.EXC(ALL_DATA,$X$6/100)=MIN(DETECT_DATA),COUNTIF(DETECT_DATA,MIN(DETECT_DATA))&lt;$U$12),"Non-detect  ",_xlfn.PERCENTILE.EXC(ALL_DATA,$X$6/100)),_xlfn.PERCENTILE.EXC(DETECT_DATA,$X$6/100))</f>
        <v>46.72799999999998</v>
      </c>
      <c r="Y11" s="49"/>
      <c r="Z11" s="135">
        <f ca="1"/>
        <v>1291</v>
      </c>
      <c r="AA11" s="137">
        <f ca="1">IF(OR(Z11&lt;Settings!$G$2,COUNTIF(RAW_DATA,"&gt;="&amp;Settings!$G$2)=0),"",COUNTIF(RAW_DATA,Z11))</f>
        <v>1</v>
      </c>
      <c r="AB11" s="54"/>
    </row>
    <row r="12" spans="1:31" ht="15" customHeight="1" x14ac:dyDescent="0.2">
      <c r="A12" s="1">
        <v>7</v>
      </c>
      <c r="B12" t="str">
        <f>IF(ISERROR(MATCH(TRIM('Data Table'!D9),Settings!$G$15:$G$20,0)),TRIM('Data Table'!D9),LOOKUP(TRIM('Data Table'!D9),Settings!$G$15:$G$20,Settings!$H$15:$H$20))</f>
        <v>Hertford</v>
      </c>
      <c r="C12" t="str">
        <f>IF('Data Table'!F9="","SS",IF('Data Table'!F9="SF","SD",TRIM('Data Table'!F9)))</f>
        <v>SS</v>
      </c>
      <c r="D12" s="106">
        <f ca="1">IF(ISBLANK(OFFSET('Data Table'!$A7,2,Settings!$G$5-1)),"",OFFSET('Data Table'!$A7,2,Settings!$G$5-1))</f>
        <v>23</v>
      </c>
      <c r="E12" s="106" t="str">
        <f ca="1">IF(ISBLANK(OFFSET('Data Table'!$A7,2,Settings!$G$5)),"",OFFSET('Data Table'!$A7,2,Settings!$G$5))</f>
        <v/>
      </c>
      <c r="F12" s="143" t="str">
        <f ca="1">IF(ISBLANK(OFFSET('Data Table'!$A7,2,Settings!$G$5+1)),"",OFFSET('Data Table'!$A7,2,Settings!$G$5+1))</f>
        <v/>
      </c>
      <c r="G12">
        <f t="shared" ca="1" si="0"/>
        <v>23</v>
      </c>
      <c r="H12">
        <f ca="1">IF(G12=-888,"",IF(G12=-999,Settings!$G$4,IF(AND($AA$6="Excluded",G12&gt;=Settings!$G$2),"",G12)))</f>
        <v>23</v>
      </c>
      <c r="I12">
        <f ca="1">IF(OR(G12=-999,G12=-888,AND($AA$6="Excluded",G12&gt;=Settings!$G$2)),"",G12)</f>
        <v>23</v>
      </c>
      <c r="K12" s="53"/>
      <c r="L12" s="49"/>
      <c r="P12" s="49"/>
      <c r="Q12" s="97" t="s">
        <v>27</v>
      </c>
      <c r="R12" s="98">
        <f ca="1">_xlfn.QUARTILE.EXC(DETECT_DATA,3)</f>
        <v>23</v>
      </c>
      <c r="S12" s="49"/>
      <c r="T12" s="68" t="s">
        <v>28</v>
      </c>
      <c r="U12" s="101">
        <f ca="1">COUNTIF(RAW_DATA,"=-999")</f>
        <v>52</v>
      </c>
      <c r="V12" s="49"/>
      <c r="W12" s="42"/>
      <c r="X12" s="98"/>
      <c r="Y12" s="49"/>
      <c r="Z12" s="135"/>
      <c r="AA12" s="137" t="str">
        <f ca="1">IF(OR(Z12&lt;Settings!$G$2,COUNTIF(RAW_DATA,"&gt;="&amp;Settings!$G$2)=0),"",COUNTIF(RAW_DATA,Z12))</f>
        <v/>
      </c>
      <c r="AB12" s="54"/>
      <c r="AE12" s="66"/>
    </row>
    <row r="13" spans="1:31" ht="15" customHeight="1" x14ac:dyDescent="0.2">
      <c r="A13" s="1">
        <v>8</v>
      </c>
      <c r="B13" t="str">
        <f>IF(ISERROR(MATCH(TRIM('Data Table'!D10),Settings!$G$15:$G$20,0)),TRIM('Data Table'!D10),LOOKUP(TRIM('Data Table'!D10),Settings!$G$15:$G$20,Settings!$H$15:$H$20))</f>
        <v>Hertford</v>
      </c>
      <c r="C13" t="str">
        <f>IF('Data Table'!F10="","SS",IF('Data Table'!F10="SF","SD",TRIM('Data Table'!F10)))</f>
        <v>SD</v>
      </c>
      <c r="D13" s="106">
        <f ca="1">IF(ISBLANK(OFFSET('Data Table'!$A8,2,Settings!$G$5-1)),"",OFFSET('Data Table'!$A8,2,Settings!$G$5-1))</f>
        <v>16</v>
      </c>
      <c r="E13" s="106" t="str">
        <f ca="1">IF(ISBLANK(OFFSET('Data Table'!$A8,2,Settings!$G$5)),"",OFFSET('Data Table'!$A8,2,Settings!$G$5))</f>
        <v/>
      </c>
      <c r="F13" s="143" t="str">
        <f ca="1">IF(ISBLANK(OFFSET('Data Table'!$A8,2,Settings!$G$5+1)),"",OFFSET('Data Table'!$A8,2,Settings!$G$5+1))</f>
        <v/>
      </c>
      <c r="G13">
        <f t="shared" ca="1" si="0"/>
        <v>16</v>
      </c>
      <c r="H13">
        <f ca="1">IF(G13=-888,"",IF(G13=-999,Settings!$G$4,IF(AND($AA$6="Excluded",G13&gt;=Settings!$G$2),"",G13)))</f>
        <v>16</v>
      </c>
      <c r="I13">
        <f ca="1">IF(OR(G13=-999,G13=-888,AND($AA$6="Excluded",G13&gt;=Settings!$G$2)),"",G13)</f>
        <v>16</v>
      </c>
      <c r="K13" s="53"/>
      <c r="L13" s="49"/>
      <c r="P13" s="49"/>
      <c r="Q13" s="97" t="s">
        <v>29</v>
      </c>
      <c r="R13" s="98" cm="1">
        <f t="array" aca="1" ref="R13" ca="1">MIN(_xlfn._xlws.FILTER(DETECT_DATA,DETECT_DATA &gt;=  (R10-1.5*(R12-R10))))</f>
        <v>5.0000000000000001E-3</v>
      </c>
      <c r="S13" s="49"/>
      <c r="T13" s="68" t="s">
        <v>30</v>
      </c>
      <c r="U13" s="101">
        <f ca="1">COUNTIF(RAW_DATA,"=-888")</f>
        <v>0</v>
      </c>
      <c r="V13" s="49"/>
      <c r="W13" s="42"/>
      <c r="X13" s="98"/>
      <c r="Y13" s="49"/>
      <c r="Z13" s="135"/>
      <c r="AA13" s="137" t="str">
        <f ca="1">IF(OR(Z13&lt;Settings!$G$2,COUNTIF(RAW_DATA,"&gt;="&amp;Settings!$G$2)=0),"",COUNTIF(RAW_DATA,Z13))</f>
        <v/>
      </c>
      <c r="AB13" s="54"/>
    </row>
    <row r="14" spans="1:31" ht="15" customHeight="1" x14ac:dyDescent="0.2">
      <c r="A14" s="1">
        <v>9</v>
      </c>
      <c r="B14" t="str">
        <f>IF(ISERROR(MATCH(TRIM('Data Table'!D11),Settings!$G$15:$G$20,0)),TRIM('Data Table'!D11),LOOKUP(TRIM('Data Table'!D11),Settings!$G$15:$G$20,Settings!$H$15:$H$20))</f>
        <v>Hertford</v>
      </c>
      <c r="C14" t="str">
        <f>IF('Data Table'!F11="","SS",IF('Data Table'!F11="SF","SD",TRIM('Data Table'!F11)))</f>
        <v>SD</v>
      </c>
      <c r="D14" s="106">
        <f ca="1">IF(ISBLANK(OFFSET('Data Table'!$A9,2,Settings!$G$5-1)),"",OFFSET('Data Table'!$A9,2,Settings!$G$5-1))</f>
        <v>14</v>
      </c>
      <c r="E14" s="106" t="str">
        <f ca="1">IF(ISBLANK(OFFSET('Data Table'!$A9,2,Settings!$G$5)),"",OFFSET('Data Table'!$A9,2,Settings!$G$5))</f>
        <v/>
      </c>
      <c r="F14" s="143" t="str">
        <f ca="1">IF(ISBLANK(OFFSET('Data Table'!$A9,2,Settings!$G$5+1)),"",OFFSET('Data Table'!$A9,2,Settings!$G$5+1))</f>
        <v/>
      </c>
      <c r="G14">
        <f t="shared" ca="1" si="0"/>
        <v>14</v>
      </c>
      <c r="H14">
        <f ca="1">IF(G14=-888,"",IF(G14=-999,Settings!$G$4,IF(AND($AA$6="Excluded",G14&gt;=Settings!$G$2),"",G14)))</f>
        <v>14</v>
      </c>
      <c r="I14">
        <f ca="1">IF(OR(G14=-999,G14=-888,AND($AA$6="Excluded",G14&gt;=Settings!$G$2)),"",G14)</f>
        <v>14</v>
      </c>
      <c r="K14" s="53"/>
      <c r="L14" s="49"/>
      <c r="P14" s="49"/>
      <c r="Q14" s="97" t="s">
        <v>31</v>
      </c>
      <c r="R14" s="99" cm="1">
        <f t="array" aca="1" ref="R14" ca="1">MAX(_xlfn._xlws.FILTER(DETECT_DATA,DETECT_DATA &lt;=  (R12+1.5*(R12-R10))))</f>
        <v>46.8</v>
      </c>
      <c r="S14" s="49"/>
      <c r="T14" s="43"/>
      <c r="U14" s="102"/>
      <c r="V14" s="49"/>
      <c r="W14" s="43"/>
      <c r="X14" s="98"/>
      <c r="Y14" s="49"/>
      <c r="Z14" s="140"/>
      <c r="AA14" s="139" t="str">
        <f ca="1">IF(OR(Z14&lt;Settings!$G$2,COUNTIF(RAW_DATA,"&gt;="&amp;Settings!$G$2)=0),"",COUNTIF(RAW_DATA,Z14))</f>
        <v/>
      </c>
      <c r="AB14" s="54"/>
    </row>
    <row r="15" spans="1:31" ht="15" customHeight="1" x14ac:dyDescent="0.2">
      <c r="A15" s="1">
        <v>10</v>
      </c>
      <c r="B15" t="str">
        <f>IF(ISERROR(MATCH(TRIM('Data Table'!D12),Settings!$G$15:$G$20,0)),TRIM('Data Table'!D12),LOOKUP(TRIM('Data Table'!D12),Settings!$G$15:$G$20,Settings!$H$15:$H$20))</f>
        <v>Hertford</v>
      </c>
      <c r="C15" t="str">
        <f>IF('Data Table'!F12="","SS",IF('Data Table'!F12="SF","SD",TRIM('Data Table'!F12)))</f>
        <v>SD</v>
      </c>
      <c r="D15" s="106">
        <f ca="1">IF(ISBLANK(OFFSET('Data Table'!$A10,2,Settings!$G$5-1)),"",OFFSET('Data Table'!$A10,2,Settings!$G$5-1))</f>
        <v>4</v>
      </c>
      <c r="E15" s="106" t="str">
        <f ca="1">IF(ISBLANK(OFFSET('Data Table'!$A10,2,Settings!$G$5)),"",OFFSET('Data Table'!$A10,2,Settings!$G$5))</f>
        <v/>
      </c>
      <c r="F15" s="143" t="str">
        <f ca="1">IF(ISBLANK(OFFSET('Data Table'!$A10,2,Settings!$G$5+1)),"",OFFSET('Data Table'!$A10,2,Settings!$G$5+1))</f>
        <v/>
      </c>
      <c r="G15">
        <f t="shared" ca="1" si="0"/>
        <v>4</v>
      </c>
      <c r="H15">
        <f ca="1">IF(G15=-888,"",IF(G15=-999,Settings!$G$4,IF(AND($AA$6="Excluded",G15&gt;=Settings!$G$2),"",G15)))</f>
        <v>4</v>
      </c>
      <c r="I15">
        <f ca="1">IF(OR(G15=-999,G15=-888,AND($AA$6="Excluded",G15&gt;=Settings!$G$2)),"",G15)</f>
        <v>4</v>
      </c>
      <c r="K15" s="53"/>
      <c r="L15" s="49"/>
      <c r="P15" s="49"/>
      <c r="Q15" s="162" t="str">
        <f>"Boxplot Definitions"</f>
        <v>Boxplot Definitions</v>
      </c>
      <c r="R15" s="166"/>
      <c r="S15" s="49"/>
      <c r="T15" s="162" t="str">
        <f>"Summary of Detects *"</f>
        <v>Summary of Detects *</v>
      </c>
      <c r="U15" s="163"/>
      <c r="V15" s="49"/>
      <c r="W15" s="162" t="str">
        <f>"Kaplan-Meier All Data *"</f>
        <v>Kaplan-Meier All Data *</v>
      </c>
      <c r="X15" s="163"/>
      <c r="Y15" s="49"/>
      <c r="Z15" s="118"/>
      <c r="AA15" s="118"/>
      <c r="AB15" s="54"/>
    </row>
    <row r="16" spans="1:31" ht="15" customHeight="1" x14ac:dyDescent="0.2">
      <c r="A16" s="1">
        <v>11</v>
      </c>
      <c r="B16" t="str">
        <f>IF(ISERROR(MATCH(TRIM('Data Table'!D13),Settings!$G$15:$G$20,0)),TRIM('Data Table'!D13),LOOKUP(TRIM('Data Table'!D13),Settings!$G$15:$G$20,Settings!$H$15:$H$20))</f>
        <v>Hertford</v>
      </c>
      <c r="C16" t="str">
        <f>IF('Data Table'!F13="","SS",IF('Data Table'!F13="SF","SD",TRIM('Data Table'!F13)))</f>
        <v>SD</v>
      </c>
      <c r="D16" s="106">
        <f ca="1">IF(ISBLANK(OFFSET('Data Table'!$A11,2,Settings!$G$5-1)),"",OFFSET('Data Table'!$A11,2,Settings!$G$5-1))</f>
        <v>4</v>
      </c>
      <c r="E16" s="106" t="str">
        <f ca="1">IF(ISBLANK(OFFSET('Data Table'!$A11,2,Settings!$G$5)),"",OFFSET('Data Table'!$A11,2,Settings!$G$5))</f>
        <v/>
      </c>
      <c r="F16" s="143" t="str">
        <f ca="1">IF(ISBLANK(OFFSET('Data Table'!$A11,2,Settings!$G$5+1)),"",OFFSET('Data Table'!$A11,2,Settings!$G$5+1))</f>
        <v/>
      </c>
      <c r="G16">
        <f t="shared" ca="1" si="0"/>
        <v>4</v>
      </c>
      <c r="H16">
        <f ca="1">IF(G16=-888,"",IF(G16=-999,Settings!$G$4,IF(AND($AA$6="Excluded",G16&gt;=Settings!$G$2),"",G16)))</f>
        <v>4</v>
      </c>
      <c r="I16">
        <f ca="1">IF(OR(G16=-999,G16=-888,AND($AA$6="Excluded",G16&gt;=Settings!$G$2)),"",G16)</f>
        <v>4</v>
      </c>
      <c r="K16" s="53"/>
      <c r="L16" s="49"/>
      <c r="P16" s="49"/>
      <c r="Q16" s="63" t="s">
        <v>32</v>
      </c>
      <c r="R16" s="93" t="s">
        <v>33</v>
      </c>
      <c r="S16" s="49"/>
      <c r="T16" s="82" t="s">
        <v>34</v>
      </c>
      <c r="U16" s="95">
        <f ca="1">AVERAGE(DETECT_DATA)</f>
        <v>27.050516917293237</v>
      </c>
      <c r="V16" s="49"/>
      <c r="W16" s="68" t="s">
        <v>34</v>
      </c>
      <c r="X16" s="95">
        <f ca="1">'Kaplan Meier'!M3</f>
        <v>25.155084302325577</v>
      </c>
      <c r="Y16" s="49"/>
      <c r="Z16" s="155" t="s">
        <v>35</v>
      </c>
      <c r="AA16" s="156"/>
      <c r="AB16" s="54"/>
    </row>
    <row r="17" spans="1:28" ht="15" customHeight="1" x14ac:dyDescent="0.2">
      <c r="A17" s="1">
        <v>12</v>
      </c>
      <c r="B17" t="str">
        <f>IF(ISERROR(MATCH(TRIM('Data Table'!D14),Settings!$G$15:$G$20,0)),TRIM('Data Table'!D14),LOOKUP(TRIM('Data Table'!D14),Settings!$G$15:$G$20,Settings!$H$15:$H$20))</f>
        <v>Mecklenburg</v>
      </c>
      <c r="C17" t="str">
        <f>IF('Data Table'!F14="","SS",IF('Data Table'!F14="SF","SD",TRIM('Data Table'!F14)))</f>
        <v>SS</v>
      </c>
      <c r="D17" s="106">
        <f ca="1">IF(ISBLANK(OFFSET('Data Table'!$A12,2,Settings!$G$5-1)),"",OFFSET('Data Table'!$A12,2,Settings!$G$5-1))</f>
        <v>90</v>
      </c>
      <c r="E17" s="106" t="str">
        <f ca="1">IF(ISBLANK(OFFSET('Data Table'!$A12,2,Settings!$G$5)),"",OFFSET('Data Table'!$A12,2,Settings!$G$5))</f>
        <v/>
      </c>
      <c r="F17" s="143" t="str">
        <f ca="1">IF(ISBLANK(OFFSET('Data Table'!$A12,2,Settings!$G$5+1)),"",OFFSET('Data Table'!$A12,2,Settings!$G$5+1))</f>
        <v/>
      </c>
      <c r="G17">
        <f t="shared" ca="1" si="0"/>
        <v>90</v>
      </c>
      <c r="H17">
        <f ca="1">IF(G17=-888,"",IF(G17=-999,Settings!$G$4,IF(AND($AA$6="Excluded",G17&gt;=Settings!$G$2),"",G17)))</f>
        <v>90</v>
      </c>
      <c r="I17">
        <f ca="1">IF(OR(G17=-999,G17=-888,AND($AA$6="Excluded",G17&gt;=Settings!$G$2)),"",G17)</f>
        <v>90</v>
      </c>
      <c r="K17" s="53"/>
      <c r="L17" s="49"/>
      <c r="P17" s="49"/>
      <c r="Q17" s="64" t="s">
        <v>36</v>
      </c>
      <c r="R17" s="92" t="s">
        <v>25</v>
      </c>
      <c r="S17" s="49"/>
      <c r="T17" s="68" t="s">
        <v>37</v>
      </c>
      <c r="U17" s="98">
        <f ca="1">_xlfn.STDEV.S(DETECT_DATA)</f>
        <v>53.348853744708094</v>
      </c>
      <c r="V17" s="49"/>
      <c r="W17" s="68" t="s">
        <v>37</v>
      </c>
      <c r="X17" s="98">
        <f ca="1">'Kaplan Meier'!M4</f>
        <v>51.808229793105617</v>
      </c>
      <c r="Y17" s="49"/>
      <c r="Z17" s="149"/>
      <c r="AA17" s="150"/>
      <c r="AB17" s="54"/>
    </row>
    <row r="18" spans="1:28" ht="15" customHeight="1" x14ac:dyDescent="0.2">
      <c r="A18" s="1">
        <v>13</v>
      </c>
      <c r="B18" t="str">
        <f>IF(ISERROR(MATCH(TRIM('Data Table'!D15),Settings!$G$15:$G$20,0)),TRIM('Data Table'!D15),LOOKUP(TRIM('Data Table'!D15),Settings!$G$15:$G$20,Settings!$H$15:$H$20))</f>
        <v>Johnston</v>
      </c>
      <c r="C18" t="str">
        <f>IF('Data Table'!F15="","SS",IF('Data Table'!F15="SF","SD",TRIM('Data Table'!F15)))</f>
        <v>SS</v>
      </c>
      <c r="D18" s="106" t="str">
        <f ca="1">IF(ISBLANK(OFFSET('Data Table'!$A13,2,Settings!$G$5-1)),"",OFFSET('Data Table'!$A13,2,Settings!$G$5-1))</f>
        <v/>
      </c>
      <c r="E18" s="106">
        <f ca="1">IF(ISBLANK(OFFSET('Data Table'!$A13,2,Settings!$G$5)),"",OFFSET('Data Table'!$A13,2,Settings!$G$5))</f>
        <v>7.6319999999999997</v>
      </c>
      <c r="F18" s="143" t="str">
        <f ca="1">IF(ISBLANK(OFFSET('Data Table'!$A13,2,Settings!$G$5+1)),"",OFFSET('Data Table'!$A13,2,Settings!$G$5+1))</f>
        <v/>
      </c>
      <c r="G18">
        <f t="shared" ca="1" si="0"/>
        <v>7.6319999999999997</v>
      </c>
      <c r="H18">
        <f ca="1">IF(G18=-888,"",IF(G18=-999,Settings!$G$4,IF(AND($AA$6="Excluded",G18&gt;=Settings!$G$2),"",G18)))</f>
        <v>7.6319999999999997</v>
      </c>
      <c r="I18">
        <f ca="1">IF(OR(G18=-999,G18=-888,AND($AA$6="Excluded",G18&gt;=Settings!$G$2)),"",G18)</f>
        <v>7.6319999999999997</v>
      </c>
      <c r="K18" s="53"/>
      <c r="L18" s="49"/>
      <c r="P18" s="49"/>
      <c r="Q18" s="68" t="s">
        <v>29</v>
      </c>
      <c r="R18" s="92" t="s">
        <v>38</v>
      </c>
      <c r="S18" s="49"/>
      <c r="T18" s="68" t="s">
        <v>39</v>
      </c>
      <c r="U18" s="98">
        <f ca="1">MAX(DETECT_DATA)</f>
        <v>620</v>
      </c>
      <c r="V18" s="49"/>
      <c r="W18" s="42"/>
      <c r="X18" s="98"/>
      <c r="Y18" s="49"/>
      <c r="Z18" s="151"/>
      <c r="AA18" s="152"/>
      <c r="AB18" s="54"/>
    </row>
    <row r="19" spans="1:28" ht="15" customHeight="1" x14ac:dyDescent="0.2">
      <c r="A19" s="1">
        <v>14</v>
      </c>
      <c r="B19" t="str">
        <f>IF(ISERROR(MATCH(TRIM('Data Table'!D16),Settings!$G$15:$G$20,0)),TRIM('Data Table'!D16),LOOKUP(TRIM('Data Table'!D16),Settings!$G$15:$G$20,Settings!$H$15:$H$20))</f>
        <v>Johnston</v>
      </c>
      <c r="C19" t="str">
        <f>IF('Data Table'!F16="","SS",IF('Data Table'!F16="SF","SD",TRIM('Data Table'!F16)))</f>
        <v>SD</v>
      </c>
      <c r="D19" s="106" t="str">
        <f ca="1">IF(ISBLANK(OFFSET('Data Table'!$A14,2,Settings!$G$5-1)),"",OFFSET('Data Table'!$A14,2,Settings!$G$5-1))</f>
        <v/>
      </c>
      <c r="E19" s="106" t="str">
        <f ca="1">IF(ISBLANK(OFFSET('Data Table'!$A14,2,Settings!$G$5)),"",OFFSET('Data Table'!$A14,2,Settings!$G$5))</f>
        <v/>
      </c>
      <c r="F19" s="143">
        <f ca="1">IF(ISBLANK(OFFSET('Data Table'!$A14,2,Settings!$G$5+1)),"",OFFSET('Data Table'!$A14,2,Settings!$G$5+1))</f>
        <v>20</v>
      </c>
      <c r="G19">
        <f t="shared" ca="1" si="0"/>
        <v>20</v>
      </c>
      <c r="H19">
        <f ca="1">IF(G19=-888,"",IF(G19=-999,Settings!$G$4,IF(AND($AA$6="Excluded",G19&gt;=Settings!$G$2),"",G19)))</f>
        <v>20</v>
      </c>
      <c r="I19">
        <f ca="1">IF(OR(G19=-999,G19=-888,AND($AA$6="Excluded",G19&gt;=Settings!$G$2)),"",G19)</f>
        <v>20</v>
      </c>
      <c r="K19" s="53"/>
      <c r="L19" s="49"/>
      <c r="P19" s="49"/>
      <c r="Q19" s="68" t="s">
        <v>31</v>
      </c>
      <c r="R19" s="92" t="s">
        <v>40</v>
      </c>
      <c r="S19" s="49"/>
      <c r="T19" s="68" t="s">
        <v>41</v>
      </c>
      <c r="U19" s="98">
        <f ca="1">MIN(DETECT_DATA)</f>
        <v>5.0000000000000001E-3</v>
      </c>
      <c r="V19" s="49"/>
      <c r="W19" s="42"/>
      <c r="X19" s="98"/>
      <c r="Y19" s="49"/>
      <c r="Z19" s="151"/>
      <c r="AA19" s="152"/>
      <c r="AB19" s="54"/>
    </row>
    <row r="20" spans="1:28" ht="15" customHeight="1" x14ac:dyDescent="0.2">
      <c r="A20" s="1">
        <v>15</v>
      </c>
      <c r="B20" t="str">
        <f>IF(ISERROR(MATCH(TRIM('Data Table'!D17),Settings!$G$15:$G$20,0)),TRIM('Data Table'!D17),LOOKUP(TRIM('Data Table'!D17),Settings!$G$15:$G$20,Settings!$H$15:$H$20))</f>
        <v>Union</v>
      </c>
      <c r="C20" t="str">
        <f>IF('Data Table'!F17="","SS",IF('Data Table'!F17="SF","SD",TRIM('Data Table'!F17)))</f>
        <v>SB</v>
      </c>
      <c r="D20" s="106">
        <f ca="1">IF(ISBLANK(OFFSET('Data Table'!$A15,2,Settings!$G$5-1)),"",OFFSET('Data Table'!$A15,2,Settings!$G$5-1))</f>
        <v>13</v>
      </c>
      <c r="E20" s="106" t="str">
        <f ca="1">IF(ISBLANK(OFFSET('Data Table'!$A15,2,Settings!$G$5)),"",OFFSET('Data Table'!$A15,2,Settings!$G$5))</f>
        <v/>
      </c>
      <c r="F20" s="143" t="str">
        <f ca="1">IF(ISBLANK(OFFSET('Data Table'!$A15,2,Settings!$G$5+1)),"",OFFSET('Data Table'!$A15,2,Settings!$G$5+1))</f>
        <v/>
      </c>
      <c r="G20">
        <f t="shared" ca="1" si="0"/>
        <v>13</v>
      </c>
      <c r="H20">
        <f ca="1">IF(G20=-888,"",IF(G20=-999,Settings!$G$4,IF(AND($AA$6="Excluded",G20&gt;=Settings!$G$2),"",G20)))</f>
        <v>13</v>
      </c>
      <c r="I20">
        <f ca="1">IF(OR(G20=-999,G20=-888,AND($AA$6="Excluded",G20&gt;=Settings!$G$2)),"",G20)</f>
        <v>13</v>
      </c>
      <c r="K20" s="53"/>
      <c r="L20" s="49"/>
      <c r="P20" s="49"/>
      <c r="Q20" s="64" t="s">
        <v>42</v>
      </c>
      <c r="R20" s="92" t="s">
        <v>43</v>
      </c>
      <c r="S20" s="49"/>
      <c r="T20" s="42"/>
      <c r="U20" s="98"/>
      <c r="V20" s="49"/>
      <c r="W20" s="42"/>
      <c r="X20" s="98"/>
      <c r="Y20" s="49"/>
      <c r="Z20" s="151"/>
      <c r="AA20" s="152"/>
      <c r="AB20" s="54"/>
    </row>
    <row r="21" spans="1:28" ht="15" customHeight="1" x14ac:dyDescent="0.2">
      <c r="A21" s="1">
        <v>16</v>
      </c>
      <c r="B21" t="str">
        <f>IF(ISERROR(MATCH(TRIM('Data Table'!D18),Settings!$G$15:$G$20,0)),TRIM('Data Table'!D18),LOOKUP(TRIM('Data Table'!D18),Settings!$G$15:$G$20,Settings!$H$15:$H$20))</f>
        <v>Union</v>
      </c>
      <c r="C21" t="str">
        <f>IF('Data Table'!F18="","SS",IF('Data Table'!F18="SF","SD",TRIM('Data Table'!F18)))</f>
        <v>SS</v>
      </c>
      <c r="D21" s="106">
        <f ca="1">IF(ISBLANK(OFFSET('Data Table'!$A16,2,Settings!$G$5-1)),"",OFFSET('Data Table'!$A16,2,Settings!$G$5-1))</f>
        <v>36</v>
      </c>
      <c r="E21" s="106" t="str">
        <f ca="1">IF(ISBLANK(OFFSET('Data Table'!$A16,2,Settings!$G$5)),"",OFFSET('Data Table'!$A16,2,Settings!$G$5))</f>
        <v/>
      </c>
      <c r="F21" s="143" t="str">
        <f ca="1">IF(ISBLANK(OFFSET('Data Table'!$A16,2,Settings!$G$5+1)),"",OFFSET('Data Table'!$A16,2,Settings!$G$5+1))</f>
        <v/>
      </c>
      <c r="G21">
        <f t="shared" ca="1" si="0"/>
        <v>36</v>
      </c>
      <c r="H21">
        <f ca="1">IF(G21=-888,"",IF(G21=-999,Settings!$G$4,IF(AND($AA$6="Excluded",G21&gt;=Settings!$G$2),"",G21)))</f>
        <v>36</v>
      </c>
      <c r="I21">
        <f ca="1">IF(OR(G21=-999,G21=-888,AND($AA$6="Excluded",G21&gt;=Settings!$G$2)),"",G21)</f>
        <v>36</v>
      </c>
      <c r="K21" s="53"/>
      <c r="L21" s="49"/>
      <c r="P21" s="49"/>
      <c r="Q21" s="65" t="s">
        <v>44</v>
      </c>
      <c r="R21" s="94" t="s">
        <v>45</v>
      </c>
      <c r="S21" s="49"/>
      <c r="T21" s="43"/>
      <c r="U21" s="99"/>
      <c r="V21" s="49"/>
      <c r="W21" s="43"/>
      <c r="X21" s="99"/>
      <c r="Y21" s="49"/>
      <c r="Z21" s="153"/>
      <c r="AA21" s="154"/>
      <c r="AB21" s="54"/>
    </row>
    <row r="22" spans="1:28" ht="15" customHeight="1" x14ac:dyDescent="0.2">
      <c r="A22" s="1">
        <v>17</v>
      </c>
      <c r="B22" t="str">
        <f>IF(ISERROR(MATCH(TRIM('Data Table'!D19),Settings!$G$15:$G$20,0)),TRIM('Data Table'!D19),LOOKUP(TRIM('Data Table'!D19),Settings!$G$15:$G$20,Settings!$H$15:$H$20))</f>
        <v>Union</v>
      </c>
      <c r="C22" t="str">
        <f>IF('Data Table'!F19="","SS",IF('Data Table'!F19="SF","SD",TRIM('Data Table'!F19)))</f>
        <v>SS</v>
      </c>
      <c r="D22" s="106">
        <f ca="1">IF(ISBLANK(OFFSET('Data Table'!$A17,2,Settings!$G$5-1)),"",OFFSET('Data Table'!$A17,2,Settings!$G$5-1))</f>
        <v>36</v>
      </c>
      <c r="E22" s="106" t="str">
        <f ca="1">IF(ISBLANK(OFFSET('Data Table'!$A17,2,Settings!$G$5)),"",OFFSET('Data Table'!$A17,2,Settings!$G$5))</f>
        <v/>
      </c>
      <c r="F22" s="143" t="str">
        <f ca="1">IF(ISBLANK(OFFSET('Data Table'!$A17,2,Settings!$G$5+1)),"",OFFSET('Data Table'!$A17,2,Settings!$G$5+1))</f>
        <v/>
      </c>
      <c r="G22">
        <f t="shared" ca="1" si="0"/>
        <v>36</v>
      </c>
      <c r="H22">
        <f ca="1">IF(G22=-888,"",IF(G22=-999,Settings!$G$4,IF(AND($AA$6="Excluded",G22&gt;=Settings!$G$2),"",G22)))</f>
        <v>36</v>
      </c>
      <c r="I22">
        <f ca="1">IF(OR(G22=-999,G22=-888,AND($AA$6="Excluded",G22&gt;=Settings!$G$2)),"",G22)</f>
        <v>36</v>
      </c>
      <c r="K22" s="53"/>
      <c r="L22" s="49"/>
      <c r="M22" s="49"/>
      <c r="N22" s="49"/>
      <c r="O22" s="49"/>
      <c r="P22" s="49"/>
      <c r="Q22" s="49"/>
      <c r="R22" s="49"/>
      <c r="S22" s="49"/>
      <c r="T22" s="49"/>
      <c r="U22" s="49"/>
      <c r="V22" s="49"/>
      <c r="W22" s="49"/>
      <c r="X22" s="49"/>
      <c r="Y22" s="49"/>
      <c r="Z22" s="49"/>
      <c r="AA22" s="49"/>
      <c r="AB22" s="54"/>
    </row>
    <row r="23" spans="1:28" ht="15" customHeight="1" x14ac:dyDescent="0.2">
      <c r="A23" s="1">
        <v>18</v>
      </c>
      <c r="B23" t="str">
        <f>IF(ISERROR(MATCH(TRIM('Data Table'!D20),Settings!$G$15:$G$20,0)),TRIM('Data Table'!D20),LOOKUP(TRIM('Data Table'!D20),Settings!$G$15:$G$20,Settings!$H$15:$H$20))</f>
        <v>Union</v>
      </c>
      <c r="C23" t="str">
        <f>IF('Data Table'!F20="","SS",IF('Data Table'!F20="SF","SD",TRIM('Data Table'!F20)))</f>
        <v>SB</v>
      </c>
      <c r="D23" s="106">
        <f ca="1">IF(ISBLANK(OFFSET('Data Table'!$A18,2,Settings!$G$5-1)),"",OFFSET('Data Table'!$A18,2,Settings!$G$5-1))</f>
        <v>21</v>
      </c>
      <c r="E23" s="106" t="str">
        <f ca="1">IF(ISBLANK(OFFSET('Data Table'!$A18,2,Settings!$G$5)),"",OFFSET('Data Table'!$A18,2,Settings!$G$5))</f>
        <v/>
      </c>
      <c r="F23" s="143" t="str">
        <f ca="1">IF(ISBLANK(OFFSET('Data Table'!$A18,2,Settings!$G$5+1)),"",OFFSET('Data Table'!$A18,2,Settings!$G$5+1))</f>
        <v/>
      </c>
      <c r="G23">
        <f t="shared" ca="1" si="0"/>
        <v>21</v>
      </c>
      <c r="H23">
        <f ca="1">IF(G23=-888,"",IF(G23=-999,Settings!$G$4,IF(AND($AA$6="Excluded",G23&gt;=Settings!$G$2),"",G23)))</f>
        <v>21</v>
      </c>
      <c r="I23">
        <f ca="1">IF(OR(G23=-999,G23=-888,AND($AA$6="Excluded",G23&gt;=Settings!$G$2)),"",G23)</f>
        <v>21</v>
      </c>
      <c r="K23" s="53"/>
      <c r="L23" s="49"/>
      <c r="M23" s="49"/>
      <c r="N23" s="49"/>
      <c r="O23" s="49"/>
      <c r="P23" s="49"/>
      <c r="Q23" s="49"/>
      <c r="R23" s="49"/>
      <c r="S23" s="49"/>
      <c r="T23" s="49"/>
      <c r="U23" s="49"/>
      <c r="V23" s="49"/>
      <c r="W23" s="49"/>
      <c r="X23" s="49"/>
      <c r="Y23" s="49"/>
      <c r="Z23" s="49"/>
      <c r="AA23" s="49"/>
      <c r="AB23" s="54"/>
    </row>
    <row r="24" spans="1:28" ht="15" customHeight="1" x14ac:dyDescent="0.2">
      <c r="A24" s="1">
        <v>19</v>
      </c>
      <c r="B24" t="str">
        <f>IF(ISERROR(MATCH(TRIM('Data Table'!D21),Settings!$G$15:$G$20,0)),TRIM('Data Table'!D21),LOOKUP(TRIM('Data Table'!D21),Settings!$G$15:$G$20,Settings!$H$15:$H$20))</f>
        <v>Guilford</v>
      </c>
      <c r="C24" t="str">
        <f>IF('Data Table'!F21="","SS",IF('Data Table'!F21="SF","SD",TRIM('Data Table'!F21)))</f>
        <v>SD</v>
      </c>
      <c r="D24" s="106" t="str">
        <f ca="1">IF(ISBLANK(OFFSET('Data Table'!$A19,2,Settings!$G$5-1)),"",OFFSET('Data Table'!$A19,2,Settings!$G$5-1))</f>
        <v/>
      </c>
      <c r="E24" s="106">
        <f ca="1">IF(ISBLANK(OFFSET('Data Table'!$A19,2,Settings!$G$5)),"",OFFSET('Data Table'!$A19,2,Settings!$G$5))</f>
        <v>7.4879999999999995</v>
      </c>
      <c r="F24" s="143" t="str">
        <f ca="1">IF(ISBLANK(OFFSET('Data Table'!$A19,2,Settings!$G$5+1)),"",OFFSET('Data Table'!$A19,2,Settings!$G$5+1))</f>
        <v/>
      </c>
      <c r="G24">
        <f t="shared" ca="1" si="0"/>
        <v>7.4879999999999995</v>
      </c>
      <c r="H24">
        <f ca="1">IF(G24=-888,"",IF(G24=-999,Settings!$G$4,IF(AND($AA$6="Excluded",G24&gt;=Settings!$G$2),"",G24)))</f>
        <v>7.4879999999999995</v>
      </c>
      <c r="I24">
        <f ca="1">IF(OR(G24=-999,G24=-888,AND($AA$6="Excluded",G24&gt;=Settings!$G$2)),"",G24)</f>
        <v>7.4879999999999995</v>
      </c>
      <c r="K24" s="53"/>
      <c r="L24" s="49"/>
      <c r="P24" s="49"/>
      <c r="Q24" s="49"/>
      <c r="R24" s="49"/>
      <c r="AA24" s="49"/>
      <c r="AB24" s="54"/>
    </row>
    <row r="25" spans="1:28" ht="15" customHeight="1" x14ac:dyDescent="0.2">
      <c r="A25" s="1">
        <v>20</v>
      </c>
      <c r="B25" t="str">
        <f>IF(ISERROR(MATCH(TRIM('Data Table'!D22),Settings!$G$15:$G$20,0)),TRIM('Data Table'!D22),LOOKUP(TRIM('Data Table'!D22),Settings!$G$15:$G$20,Settings!$H$15:$H$20))</f>
        <v>Guilford</v>
      </c>
      <c r="C25" t="str">
        <f>IF('Data Table'!F22="","SS",IF('Data Table'!F22="SF","SD",TRIM('Data Table'!F22)))</f>
        <v>SD</v>
      </c>
      <c r="D25" s="106" t="str">
        <f ca="1">IF(ISBLANK(OFFSET('Data Table'!$A20,2,Settings!$G$5-1)),"",OFFSET('Data Table'!$A20,2,Settings!$G$5-1))</f>
        <v/>
      </c>
      <c r="E25" s="106">
        <f ca="1">IF(ISBLANK(OFFSET('Data Table'!$A20,2,Settings!$G$5)),"",OFFSET('Data Table'!$A20,2,Settings!$G$5))</f>
        <v>25.919999999999998</v>
      </c>
      <c r="F25" s="143" t="str">
        <f ca="1">IF(ISBLANK(OFFSET('Data Table'!$A20,2,Settings!$G$5+1)),"",OFFSET('Data Table'!$A20,2,Settings!$G$5+1))</f>
        <v/>
      </c>
      <c r="G25">
        <f t="shared" ca="1" si="0"/>
        <v>25.919999999999998</v>
      </c>
      <c r="H25">
        <f ca="1">IF(G25=-888,"",IF(G25=-999,Settings!$G$4,IF(AND($AA$6="Excluded",G25&gt;=Settings!$G$2),"",G25)))</f>
        <v>25.919999999999998</v>
      </c>
      <c r="I25">
        <f ca="1">IF(OR(G25=-999,G25=-888,AND($AA$6="Excluded",G25&gt;=Settings!$G$2)),"",G25)</f>
        <v>25.919999999999998</v>
      </c>
      <c r="K25" s="53"/>
      <c r="L25" s="49"/>
      <c r="P25" s="49"/>
      <c r="Q25" s="49"/>
      <c r="R25" s="49"/>
      <c r="AA25" s="49"/>
      <c r="AB25" s="54"/>
    </row>
    <row r="26" spans="1:28" ht="15" customHeight="1" x14ac:dyDescent="0.2">
      <c r="A26" s="1">
        <v>21</v>
      </c>
      <c r="B26" t="str">
        <f>IF(ISERROR(MATCH(TRIM('Data Table'!D23),Settings!$G$15:$G$20,0)),TRIM('Data Table'!D23),LOOKUP(TRIM('Data Table'!D23),Settings!$G$15:$G$20,Settings!$H$15:$H$20))</f>
        <v>Durham</v>
      </c>
      <c r="C26" t="str">
        <f>IF('Data Table'!F23="","SS",IF('Data Table'!F23="SF","SD",TRIM('Data Table'!F23)))</f>
        <v>SD</v>
      </c>
      <c r="D26" s="106" t="str">
        <f ca="1">IF(ISBLANK(OFFSET('Data Table'!$A21,2,Settings!$G$5-1)),"",OFFSET('Data Table'!$A21,2,Settings!$G$5-1))</f>
        <v/>
      </c>
      <c r="E26" s="106" t="str">
        <f ca="1">IF(ISBLANK(OFFSET('Data Table'!$A21,2,Settings!$G$5)),"",OFFSET('Data Table'!$A21,2,Settings!$G$5))</f>
        <v/>
      </c>
      <c r="F26" s="143">
        <f ca="1">IF(ISBLANK(OFFSET('Data Table'!$A21,2,Settings!$G$5+1)),"",OFFSET('Data Table'!$A21,2,Settings!$G$5+1))</f>
        <v>20</v>
      </c>
      <c r="G26">
        <f t="shared" ca="1" si="0"/>
        <v>20</v>
      </c>
      <c r="H26">
        <f ca="1">IF(G26=-888,"",IF(G26=-999,Settings!$G$4,IF(AND($AA$6="Excluded",G26&gt;=Settings!$G$2),"",G26)))</f>
        <v>20</v>
      </c>
      <c r="I26">
        <f ca="1">IF(OR(G26=-999,G26=-888,AND($AA$6="Excluded",G26&gt;=Settings!$G$2)),"",G26)</f>
        <v>20</v>
      </c>
      <c r="K26" s="53"/>
      <c r="L26" s="49"/>
      <c r="P26" s="49"/>
      <c r="Q26" s="49"/>
      <c r="R26" s="49"/>
      <c r="AA26" s="49"/>
      <c r="AB26" s="54"/>
    </row>
    <row r="27" spans="1:28" ht="15" customHeight="1" x14ac:dyDescent="0.2">
      <c r="A27" s="1">
        <v>22</v>
      </c>
      <c r="B27" t="str">
        <f>IF(ISERROR(MATCH(TRIM('Data Table'!D24),Settings!$G$15:$G$20,0)),TRIM('Data Table'!D24),LOOKUP(TRIM('Data Table'!D24),Settings!$G$15:$G$20,Settings!$H$15:$H$20))</f>
        <v>Durham</v>
      </c>
      <c r="C27" t="str">
        <f>IF('Data Table'!F24="","SS",IF('Data Table'!F24="SF","SD",TRIM('Data Table'!F24)))</f>
        <v>SD</v>
      </c>
      <c r="D27" s="106" t="str">
        <f ca="1">IF(ISBLANK(OFFSET('Data Table'!$A22,2,Settings!$G$5-1)),"",OFFSET('Data Table'!$A22,2,Settings!$G$5-1))</f>
        <v/>
      </c>
      <c r="E27" s="106" t="str">
        <f ca="1">IF(ISBLANK(OFFSET('Data Table'!$A22,2,Settings!$G$5)),"",OFFSET('Data Table'!$A22,2,Settings!$G$5))</f>
        <v/>
      </c>
      <c r="F27" s="143">
        <f ca="1">IF(ISBLANK(OFFSET('Data Table'!$A22,2,Settings!$G$5+1)),"",OFFSET('Data Table'!$A22,2,Settings!$G$5+1))</f>
        <v>20</v>
      </c>
      <c r="G27">
        <f t="shared" ca="1" si="0"/>
        <v>20</v>
      </c>
      <c r="H27">
        <f ca="1">IF(G27=-888,"",IF(G27=-999,Settings!$G$4,IF(AND($AA$6="Excluded",G27&gt;=Settings!$G$2),"",G27)))</f>
        <v>20</v>
      </c>
      <c r="I27">
        <f ca="1">IF(OR(G27=-999,G27=-888,AND($AA$6="Excluded",G27&gt;=Settings!$G$2)),"",G27)</f>
        <v>20</v>
      </c>
      <c r="K27" s="53"/>
      <c r="L27" s="49"/>
      <c r="P27" s="49"/>
      <c r="Q27" s="49"/>
      <c r="R27" s="49"/>
      <c r="AA27" s="49"/>
      <c r="AB27" s="54"/>
    </row>
    <row r="28" spans="1:28" ht="15" customHeight="1" x14ac:dyDescent="0.2">
      <c r="A28" s="1">
        <v>23</v>
      </c>
      <c r="B28" t="str">
        <f>IF(ISERROR(MATCH(TRIM('Data Table'!D25),Settings!$G$15:$G$20,0)),TRIM('Data Table'!D25),LOOKUP(TRIM('Data Table'!D25),Settings!$G$15:$G$20,Settings!$H$15:$H$20))</f>
        <v>Davidson</v>
      </c>
      <c r="C28" t="str">
        <f>IF('Data Table'!F25="","SS",IF('Data Table'!F25="SF","SD",TRIM('Data Table'!F25)))</f>
        <v>SD</v>
      </c>
      <c r="D28" s="106">
        <f ca="1">IF(ISBLANK(OFFSET('Data Table'!$A23,2,Settings!$G$5-1)),"",OFFSET('Data Table'!$A23,2,Settings!$G$5-1))</f>
        <v>22</v>
      </c>
      <c r="E28" s="106" t="str">
        <f ca="1">IF(ISBLANK(OFFSET('Data Table'!$A23,2,Settings!$G$5)),"",OFFSET('Data Table'!$A23,2,Settings!$G$5))</f>
        <v/>
      </c>
      <c r="F28" s="143" t="str">
        <f ca="1">IF(ISBLANK(OFFSET('Data Table'!$A23,2,Settings!$G$5+1)),"",OFFSET('Data Table'!$A23,2,Settings!$G$5+1))</f>
        <v/>
      </c>
      <c r="G28">
        <f t="shared" ca="1" si="0"/>
        <v>22</v>
      </c>
      <c r="H28">
        <f ca="1">IF(G28=-888,"",IF(G28=-999,Settings!$G$4,IF(AND($AA$6="Excluded",G28&gt;=Settings!$G$2),"",G28)))</f>
        <v>22</v>
      </c>
      <c r="I28">
        <f ca="1">IF(OR(G28=-999,G28=-888,AND($AA$6="Excluded",G28&gt;=Settings!$G$2)),"",G28)</f>
        <v>22</v>
      </c>
      <c r="K28" s="53"/>
      <c r="L28" s="49"/>
      <c r="P28" s="49"/>
      <c r="Q28" s="49"/>
      <c r="R28" s="49"/>
      <c r="AA28" s="49"/>
      <c r="AB28" s="54"/>
    </row>
    <row r="29" spans="1:28" ht="15" customHeight="1" x14ac:dyDescent="0.2">
      <c r="A29" s="1">
        <v>24</v>
      </c>
      <c r="B29" t="str">
        <f>IF(ISERROR(MATCH(TRIM('Data Table'!D26),Settings!$G$15:$G$20,0)),TRIM('Data Table'!D26),LOOKUP(TRIM('Data Table'!D26),Settings!$G$15:$G$20,Settings!$H$15:$H$20))</f>
        <v>Randolph</v>
      </c>
      <c r="C29" t="str">
        <f>IF('Data Table'!F26="","SS",IF('Data Table'!F26="SF","SD",TRIM('Data Table'!F26)))</f>
        <v>SS</v>
      </c>
      <c r="D29" s="106">
        <f ca="1">IF(ISBLANK(OFFSET('Data Table'!$A24,2,Settings!$G$5-1)),"",OFFSET('Data Table'!$A24,2,Settings!$G$5-1))</f>
        <v>8.6999999999999993</v>
      </c>
      <c r="E29" s="106" t="str">
        <f ca="1">IF(ISBLANK(OFFSET('Data Table'!$A24,2,Settings!$G$5)),"",OFFSET('Data Table'!$A24,2,Settings!$G$5))</f>
        <v/>
      </c>
      <c r="F29" s="143" t="str">
        <f ca="1">IF(ISBLANK(OFFSET('Data Table'!$A24,2,Settings!$G$5+1)),"",OFFSET('Data Table'!$A24,2,Settings!$G$5+1))</f>
        <v/>
      </c>
      <c r="G29">
        <f t="shared" ca="1" si="0"/>
        <v>8.6999999999999993</v>
      </c>
      <c r="H29">
        <f ca="1">IF(G29=-888,"",IF(G29=-999,Settings!$G$4,IF(AND($AA$6="Excluded",G29&gt;=Settings!$G$2),"",G29)))</f>
        <v>8.6999999999999993</v>
      </c>
      <c r="I29">
        <f ca="1">IF(OR(G29=-999,G29=-888,AND($AA$6="Excluded",G29&gt;=Settings!$G$2)),"",G29)</f>
        <v>8.6999999999999993</v>
      </c>
      <c r="K29" s="53"/>
      <c r="L29" s="49"/>
      <c r="P29" s="49"/>
      <c r="Q29" s="49"/>
      <c r="R29" s="49"/>
      <c r="AA29" s="49"/>
      <c r="AB29" s="54"/>
    </row>
    <row r="30" spans="1:28" ht="15" customHeight="1" x14ac:dyDescent="0.2">
      <c r="A30" s="1">
        <v>25</v>
      </c>
      <c r="B30" t="str">
        <f>IF(ISERROR(MATCH(TRIM('Data Table'!D27),Settings!$G$15:$G$20,0)),TRIM('Data Table'!D27),LOOKUP(TRIM('Data Table'!D27),Settings!$G$15:$G$20,Settings!$H$15:$H$20))</f>
        <v>Randolph</v>
      </c>
      <c r="C30" t="str">
        <f>IF('Data Table'!F27="","SS",IF('Data Table'!F27="SF","SD",TRIM('Data Table'!F27)))</f>
        <v>SS</v>
      </c>
      <c r="D30" s="106">
        <f ca="1">IF(ISBLANK(OFFSET('Data Table'!$A25,2,Settings!$G$5-1)),"",OFFSET('Data Table'!$A25,2,Settings!$G$5-1))</f>
        <v>21</v>
      </c>
      <c r="E30" s="106" t="str">
        <f ca="1">IF(ISBLANK(OFFSET('Data Table'!$A25,2,Settings!$G$5)),"",OFFSET('Data Table'!$A25,2,Settings!$G$5))</f>
        <v/>
      </c>
      <c r="F30" s="143" t="str">
        <f ca="1">IF(ISBLANK(OFFSET('Data Table'!$A25,2,Settings!$G$5+1)),"",OFFSET('Data Table'!$A25,2,Settings!$G$5+1))</f>
        <v/>
      </c>
      <c r="G30">
        <f t="shared" ca="1" si="0"/>
        <v>21</v>
      </c>
      <c r="H30">
        <f ca="1">IF(G30=-888,"",IF(G30=-999,Settings!$G$4,IF(AND($AA$6="Excluded",G30&gt;=Settings!$G$2),"",G30)))</f>
        <v>21</v>
      </c>
      <c r="I30">
        <f ca="1">IF(OR(G30=-999,G30=-888,AND($AA$6="Excluded",G30&gt;=Settings!$G$2)),"",G30)</f>
        <v>21</v>
      </c>
      <c r="K30" s="53"/>
      <c r="L30" s="49"/>
      <c r="P30" s="49"/>
      <c r="Q30" s="49"/>
      <c r="R30" s="49"/>
      <c r="AA30" s="49"/>
      <c r="AB30" s="54"/>
    </row>
    <row r="31" spans="1:28" ht="15" customHeight="1" x14ac:dyDescent="0.2">
      <c r="A31" s="1">
        <v>26</v>
      </c>
      <c r="B31" t="str">
        <f>IF(ISERROR(MATCH(TRIM('Data Table'!D28),Settings!$G$15:$G$20,0)),TRIM('Data Table'!D28),LOOKUP(TRIM('Data Table'!D28),Settings!$G$15:$G$20,Settings!$H$15:$H$20))</f>
        <v>Randolph</v>
      </c>
      <c r="C31" t="str">
        <f>IF('Data Table'!F28="","SS",IF('Data Table'!F28="SF","SD",TRIM('Data Table'!F28)))</f>
        <v>SD</v>
      </c>
      <c r="D31" s="106">
        <f ca="1">IF(ISBLANK(OFFSET('Data Table'!$A26,2,Settings!$G$5-1)),"",OFFSET('Data Table'!$A26,2,Settings!$G$5-1))</f>
        <v>13</v>
      </c>
      <c r="E31" s="106" t="str">
        <f ca="1">IF(ISBLANK(OFFSET('Data Table'!$A26,2,Settings!$G$5)),"",OFFSET('Data Table'!$A26,2,Settings!$G$5))</f>
        <v/>
      </c>
      <c r="F31" s="143" t="str">
        <f ca="1">IF(ISBLANK(OFFSET('Data Table'!$A26,2,Settings!$G$5+1)),"",OFFSET('Data Table'!$A26,2,Settings!$G$5+1))</f>
        <v/>
      </c>
      <c r="G31">
        <f t="shared" ca="1" si="0"/>
        <v>13</v>
      </c>
      <c r="H31">
        <f ca="1">IF(G31=-888,"",IF(G31=-999,Settings!$G$4,IF(AND($AA$6="Excluded",G31&gt;=Settings!$G$2),"",G31)))</f>
        <v>13</v>
      </c>
      <c r="I31">
        <f ca="1">IF(OR(G31=-999,G31=-888,AND($AA$6="Excluded",G31&gt;=Settings!$G$2)),"",G31)</f>
        <v>13</v>
      </c>
      <c r="K31" s="53"/>
      <c r="L31" s="49"/>
      <c r="P31" s="49"/>
      <c r="Q31" s="49"/>
      <c r="R31" s="49"/>
      <c r="AA31" s="49"/>
      <c r="AB31" s="54"/>
    </row>
    <row r="32" spans="1:28" ht="15" customHeight="1" x14ac:dyDescent="0.2">
      <c r="A32" s="1">
        <v>27</v>
      </c>
      <c r="B32" t="str">
        <f>IF(ISERROR(MATCH(TRIM('Data Table'!D29),Settings!$G$15:$G$20,0)),TRIM('Data Table'!D29),LOOKUP(TRIM('Data Table'!D29),Settings!$G$15:$G$20,Settings!$H$15:$H$20))</f>
        <v>Onslow</v>
      </c>
      <c r="C32" t="str">
        <f>IF('Data Table'!F29="","SS",IF('Data Table'!F29="SF","SD",TRIM('Data Table'!F29)))</f>
        <v>SS</v>
      </c>
      <c r="D32" s="106" t="str">
        <f ca="1">IF(ISBLANK(OFFSET('Data Table'!$A27,2,Settings!$G$5-1)),"",OFFSET('Data Table'!$A27,2,Settings!$G$5-1))</f>
        <v/>
      </c>
      <c r="E32" s="106">
        <f ca="1">IF(ISBLANK(OFFSET('Data Table'!$A27,2,Settings!$G$5)),"",OFFSET('Data Table'!$A27,2,Settings!$G$5))</f>
        <v>13.103999999999999</v>
      </c>
      <c r="F32" s="143" t="str">
        <f ca="1">IF(ISBLANK(OFFSET('Data Table'!$A27,2,Settings!$G$5+1)),"",OFFSET('Data Table'!$A27,2,Settings!$G$5+1))</f>
        <v/>
      </c>
      <c r="G32">
        <f t="shared" ca="1" si="0"/>
        <v>13.103999999999999</v>
      </c>
      <c r="H32">
        <f ca="1">IF(G32=-888,"",IF(G32=-999,Settings!$G$4,IF(AND($AA$6="Excluded",G32&gt;=Settings!$G$2),"",G32)))</f>
        <v>13.103999999999999</v>
      </c>
      <c r="I32">
        <f ca="1">IF(OR(G32=-999,G32=-888,AND($AA$6="Excluded",G32&gt;=Settings!$G$2)),"",G32)</f>
        <v>13.103999999999999</v>
      </c>
      <c r="K32" s="53"/>
      <c r="L32" s="49"/>
      <c r="P32" s="49"/>
      <c r="Q32" s="49"/>
      <c r="R32" s="49"/>
      <c r="AA32" s="49"/>
      <c r="AB32" s="54"/>
    </row>
    <row r="33" spans="1:28" ht="15" customHeight="1" x14ac:dyDescent="0.2">
      <c r="A33" s="1">
        <v>28</v>
      </c>
      <c r="B33" t="str">
        <f>IF(ISERROR(MATCH(TRIM('Data Table'!D30),Settings!$G$15:$G$20,0)),TRIM('Data Table'!D30),LOOKUP(TRIM('Data Table'!D30),Settings!$G$15:$G$20,Settings!$H$15:$H$20))</f>
        <v>Onslow</v>
      </c>
      <c r="C33" t="str">
        <f>IF('Data Table'!F30="","SS",IF('Data Table'!F30="SF","SD",TRIM('Data Table'!F30)))</f>
        <v>SB</v>
      </c>
      <c r="D33" s="106" t="str">
        <f ca="1">IF(ISBLANK(OFFSET('Data Table'!$A28,2,Settings!$G$5-1)),"",OFFSET('Data Table'!$A28,2,Settings!$G$5-1))</f>
        <v/>
      </c>
      <c r="E33" s="106">
        <f ca="1">IF(ISBLANK(OFFSET('Data Table'!$A28,2,Settings!$G$5)),"",OFFSET('Data Table'!$A28,2,Settings!$G$5))</f>
        <v>7.1999999999999993</v>
      </c>
      <c r="F33" s="143" t="str">
        <f ca="1">IF(ISBLANK(OFFSET('Data Table'!$A28,2,Settings!$G$5+1)),"",OFFSET('Data Table'!$A28,2,Settings!$G$5+1))</f>
        <v/>
      </c>
      <c r="G33">
        <f t="shared" ca="1" si="0"/>
        <v>7.1999999999999993</v>
      </c>
      <c r="H33">
        <f ca="1">IF(G33=-888,"",IF(G33=-999,Settings!$G$4,IF(AND($AA$6="Excluded",G33&gt;=Settings!$G$2),"",G33)))</f>
        <v>7.1999999999999993</v>
      </c>
      <c r="I33">
        <f ca="1">IF(OR(G33=-999,G33=-888,AND($AA$6="Excluded",G33&gt;=Settings!$G$2)),"",G33)</f>
        <v>7.1999999999999993</v>
      </c>
      <c r="K33" s="53"/>
      <c r="L33" s="49"/>
      <c r="P33" s="49"/>
      <c r="Q33" s="49"/>
      <c r="R33" s="49"/>
      <c r="AA33" s="49"/>
      <c r="AB33" s="54"/>
    </row>
    <row r="34" spans="1:28" ht="15" customHeight="1" x14ac:dyDescent="0.2">
      <c r="A34" s="1">
        <v>29</v>
      </c>
      <c r="B34" t="str">
        <f>IF(ISERROR(MATCH(TRIM('Data Table'!D31),Settings!$G$15:$G$20,0)),TRIM('Data Table'!D31),LOOKUP(TRIM('Data Table'!D31),Settings!$G$15:$G$20,Settings!$H$15:$H$20))</f>
        <v>Onslow</v>
      </c>
      <c r="C34" t="str">
        <f>IF('Data Table'!F31="","SS",IF('Data Table'!F31="SF","SD",TRIM('Data Table'!F31)))</f>
        <v>SD</v>
      </c>
      <c r="D34" s="106" t="str">
        <f ca="1">IF(ISBLANK(OFFSET('Data Table'!$A29,2,Settings!$G$5-1)),"",OFFSET('Data Table'!$A29,2,Settings!$G$5-1))</f>
        <v/>
      </c>
      <c r="E34" s="106">
        <f ca="1">IF(ISBLANK(OFFSET('Data Table'!$A29,2,Settings!$G$5)),"",OFFSET('Data Table'!$A29,2,Settings!$G$5))</f>
        <v>67.679999999999993</v>
      </c>
      <c r="F34" s="143" t="str">
        <f ca="1">IF(ISBLANK(OFFSET('Data Table'!$A29,2,Settings!$G$5+1)),"",OFFSET('Data Table'!$A29,2,Settings!$G$5+1))</f>
        <v/>
      </c>
      <c r="G34">
        <f t="shared" ca="1" si="0"/>
        <v>67.679999999999993</v>
      </c>
      <c r="H34">
        <f ca="1">IF(G34=-888,"",IF(G34=-999,Settings!$G$4,IF(AND($AA$6="Excluded",G34&gt;=Settings!$G$2),"",G34)))</f>
        <v>67.679999999999993</v>
      </c>
      <c r="I34">
        <f ca="1">IF(OR(G34=-999,G34=-888,AND($AA$6="Excluded",G34&gt;=Settings!$G$2)),"",G34)</f>
        <v>67.679999999999993</v>
      </c>
      <c r="K34" s="53"/>
      <c r="L34" s="49"/>
      <c r="P34" s="49"/>
      <c r="Q34" s="49"/>
      <c r="R34" s="49"/>
      <c r="AA34" s="49"/>
      <c r="AB34" s="54"/>
    </row>
    <row r="35" spans="1:28" ht="15" customHeight="1" x14ac:dyDescent="0.2">
      <c r="A35" s="1">
        <v>30</v>
      </c>
      <c r="B35" t="str">
        <f>IF(ISERROR(MATCH(TRIM('Data Table'!D32),Settings!$G$15:$G$20,0)),TRIM('Data Table'!D32),LOOKUP(TRIM('Data Table'!D32),Settings!$G$15:$G$20,Settings!$H$15:$H$20))</f>
        <v>Beaufort</v>
      </c>
      <c r="C35" t="str">
        <f>IF('Data Table'!F32="","SS",IF('Data Table'!F32="SF","SD",TRIM('Data Table'!F32)))</f>
        <v>SS</v>
      </c>
      <c r="D35" s="106">
        <f ca="1">IF(ISBLANK(OFFSET('Data Table'!$A30,2,Settings!$G$5-1)),"",OFFSET('Data Table'!$A30,2,Settings!$G$5-1))</f>
        <v>4.2</v>
      </c>
      <c r="E35" s="106" t="str">
        <f ca="1">IF(ISBLANK(OFFSET('Data Table'!$A30,2,Settings!$G$5)),"",OFFSET('Data Table'!$A30,2,Settings!$G$5))</f>
        <v/>
      </c>
      <c r="F35" s="143" t="str">
        <f ca="1">IF(ISBLANK(OFFSET('Data Table'!$A30,2,Settings!$G$5+1)),"",OFFSET('Data Table'!$A30,2,Settings!$G$5+1))</f>
        <v/>
      </c>
      <c r="G35">
        <f t="shared" ca="1" si="0"/>
        <v>4.2</v>
      </c>
      <c r="H35">
        <f ca="1">IF(G35=-888,"",IF(G35=-999,Settings!$G$4,IF(AND($AA$6="Excluded",G35&gt;=Settings!$G$2),"",G35)))</f>
        <v>4.2</v>
      </c>
      <c r="I35">
        <f ca="1">IF(OR(G35=-999,G35=-888,AND($AA$6="Excluded",G35&gt;=Settings!$G$2)),"",G35)</f>
        <v>4.2</v>
      </c>
      <c r="K35" s="53"/>
      <c r="L35" s="49"/>
      <c r="M35" s="49"/>
      <c r="N35" s="49"/>
      <c r="O35" s="49"/>
      <c r="P35" s="49"/>
      <c r="Q35" s="49"/>
      <c r="R35" s="49"/>
      <c r="AA35" s="49"/>
      <c r="AB35" s="54"/>
    </row>
    <row r="36" spans="1:28" ht="15" customHeight="1" x14ac:dyDescent="0.2">
      <c r="A36" s="1">
        <v>31</v>
      </c>
      <c r="B36" t="str">
        <f>IF(ISERROR(MATCH(TRIM('Data Table'!D33),Settings!$G$15:$G$20,0)),TRIM('Data Table'!D33),LOOKUP(TRIM('Data Table'!D33),Settings!$G$15:$G$20,Settings!$H$15:$H$20))</f>
        <v>Beaufort</v>
      </c>
      <c r="C36" t="str">
        <f>IF('Data Table'!F33="","SS",IF('Data Table'!F33="SF","SD",TRIM('Data Table'!F33)))</f>
        <v>SD</v>
      </c>
      <c r="D36" s="106">
        <f ca="1">IF(ISBLANK(OFFSET('Data Table'!$A31,2,Settings!$G$5-1)),"",OFFSET('Data Table'!$A31,2,Settings!$G$5-1))</f>
        <v>35</v>
      </c>
      <c r="E36" s="106" t="str">
        <f ca="1">IF(ISBLANK(OFFSET('Data Table'!$A31,2,Settings!$G$5)),"",OFFSET('Data Table'!$A31,2,Settings!$G$5))</f>
        <v/>
      </c>
      <c r="F36" s="143" t="str">
        <f ca="1">IF(ISBLANK(OFFSET('Data Table'!$A31,2,Settings!$G$5+1)),"",OFFSET('Data Table'!$A31,2,Settings!$G$5+1))</f>
        <v/>
      </c>
      <c r="G36">
        <f t="shared" ca="1" si="0"/>
        <v>35</v>
      </c>
      <c r="H36">
        <f ca="1">IF(G36=-888,"",IF(G36=-999,Settings!$G$4,IF(AND($AA$6="Excluded",G36&gt;=Settings!$G$2),"",G36)))</f>
        <v>35</v>
      </c>
      <c r="I36">
        <f ca="1">IF(OR(G36=-999,G36=-888,AND($AA$6="Excluded",G36&gt;=Settings!$G$2)),"",G36)</f>
        <v>35</v>
      </c>
      <c r="K36" s="53"/>
      <c r="L36" s="49"/>
      <c r="M36" s="49"/>
      <c r="N36" s="49"/>
      <c r="O36" s="49"/>
      <c r="P36" s="49"/>
      <c r="Q36" s="49"/>
      <c r="R36" s="49"/>
      <c r="AA36" s="49"/>
      <c r="AB36" s="54"/>
    </row>
    <row r="37" spans="1:28" ht="15" customHeight="1" x14ac:dyDescent="0.2">
      <c r="A37" s="1">
        <v>32</v>
      </c>
      <c r="B37" t="str">
        <f>IF(ISERROR(MATCH(TRIM('Data Table'!D34),Settings!$G$15:$G$20,0)),TRIM('Data Table'!D34),LOOKUP(TRIM('Data Table'!D34),Settings!$G$15:$G$20,Settings!$H$15:$H$20))</f>
        <v>Catawba</v>
      </c>
      <c r="C37" t="str">
        <f>IF('Data Table'!F34="","SS",IF('Data Table'!F34="SF","SD",TRIM('Data Table'!F34)))</f>
        <v>SS</v>
      </c>
      <c r="D37" s="106">
        <f ca="1">IF(ISBLANK(OFFSET('Data Table'!$A32,2,Settings!$G$5-1)),"",OFFSET('Data Table'!$A32,2,Settings!$G$5-1))</f>
        <v>6</v>
      </c>
      <c r="E37" s="106" t="str">
        <f ca="1">IF(ISBLANK(OFFSET('Data Table'!$A32,2,Settings!$G$5)),"",OFFSET('Data Table'!$A32,2,Settings!$G$5))</f>
        <v/>
      </c>
      <c r="F37" s="143" t="str">
        <f ca="1">IF(ISBLANK(OFFSET('Data Table'!$A32,2,Settings!$G$5+1)),"",OFFSET('Data Table'!$A32,2,Settings!$G$5+1))</f>
        <v/>
      </c>
      <c r="G37">
        <f t="shared" ca="1" si="0"/>
        <v>6</v>
      </c>
      <c r="H37">
        <f ca="1">IF(G37=-888,"",IF(G37=-999,Settings!$G$4,IF(AND($AA$6="Excluded",G37&gt;=Settings!$G$2),"",G37)))</f>
        <v>6</v>
      </c>
      <c r="I37">
        <f ca="1">IF(OR(G37=-999,G37=-888,AND($AA$6="Excluded",G37&gt;=Settings!$G$2)),"",G37)</f>
        <v>6</v>
      </c>
      <c r="K37" s="53"/>
      <c r="L37" s="49"/>
      <c r="M37" s="49"/>
      <c r="N37" s="49"/>
      <c r="O37" s="83"/>
      <c r="P37" s="49"/>
      <c r="Q37" s="49"/>
      <c r="R37" s="49"/>
      <c r="S37" s="49"/>
      <c r="T37" s="49"/>
      <c r="U37" s="49"/>
      <c r="V37" s="49"/>
      <c r="W37" s="49"/>
      <c r="X37" s="49"/>
      <c r="Y37" s="49"/>
      <c r="Z37" s="49"/>
      <c r="AA37" s="49"/>
      <c r="AB37" s="54"/>
    </row>
    <row r="38" spans="1:28" ht="15" customHeight="1" x14ac:dyDescent="0.2">
      <c r="A38" s="1">
        <v>33</v>
      </c>
      <c r="B38" t="str">
        <f>IF(ISERROR(MATCH(TRIM('Data Table'!D35),Settings!$G$15:$G$20,0)),TRIM('Data Table'!D35),LOOKUP(TRIM('Data Table'!D35),Settings!$G$15:$G$20,Settings!$H$15:$H$20))</f>
        <v>Catawba</v>
      </c>
      <c r="C38" t="str">
        <f>IF('Data Table'!F35="","SS",IF('Data Table'!F35="SF","SD",TRIM('Data Table'!F35)))</f>
        <v>SB</v>
      </c>
      <c r="D38" s="106">
        <f ca="1">IF(ISBLANK(OFFSET('Data Table'!$A33,2,Settings!$G$5-1)),"",OFFSET('Data Table'!$A33,2,Settings!$G$5-1))</f>
        <v>10</v>
      </c>
      <c r="E38" s="106" t="str">
        <f ca="1">IF(ISBLANK(OFFSET('Data Table'!$A33,2,Settings!$G$5)),"",OFFSET('Data Table'!$A33,2,Settings!$G$5))</f>
        <v/>
      </c>
      <c r="F38" s="143" t="str">
        <f ca="1">IF(ISBLANK(OFFSET('Data Table'!$A33,2,Settings!$G$5+1)),"",OFFSET('Data Table'!$A33,2,Settings!$G$5+1))</f>
        <v/>
      </c>
      <c r="G38">
        <f t="shared" ca="1" si="0"/>
        <v>10</v>
      </c>
      <c r="H38">
        <f ca="1">IF(G38=-888,"",IF(G38=-999,Settings!$G$4,IF(AND($AA$6="Excluded",G38&gt;=Settings!$G$2),"",G38)))</f>
        <v>10</v>
      </c>
      <c r="I38">
        <f ca="1">IF(OR(G38=-999,G38=-888,AND($AA$6="Excluded",G38&gt;=Settings!$G$2)),"",G38)</f>
        <v>10</v>
      </c>
      <c r="K38" s="53"/>
      <c r="L38" s="144" t="s">
        <v>46</v>
      </c>
      <c r="M38" s="124" t="s">
        <v>47</v>
      </c>
      <c r="N38" s="124"/>
      <c r="O38" s="125"/>
      <c r="P38" s="49"/>
      <c r="Q38" s="84" t="s">
        <v>48</v>
      </c>
      <c r="R38" s="85" t="s">
        <v>49</v>
      </c>
      <c r="S38" s="85"/>
      <c r="T38" s="85"/>
      <c r="U38" s="85"/>
      <c r="V38" s="85"/>
      <c r="W38" s="85"/>
      <c r="X38" s="85"/>
      <c r="Y38" s="85"/>
      <c r="Z38" s="85"/>
      <c r="AA38" s="86"/>
      <c r="AB38" s="54"/>
    </row>
    <row r="39" spans="1:28" ht="15" customHeight="1" x14ac:dyDescent="0.2">
      <c r="A39" s="1">
        <v>34</v>
      </c>
      <c r="B39" t="str">
        <f>IF(ISERROR(MATCH(TRIM('Data Table'!D36),Settings!$G$15:$G$20,0)),TRIM('Data Table'!D36),LOOKUP(TRIM('Data Table'!D36),Settings!$G$15:$G$20,Settings!$H$15:$H$20))</f>
        <v>Richmond</v>
      </c>
      <c r="C39" t="str">
        <f>IF('Data Table'!F36="","SS",IF('Data Table'!F36="SF","SD",TRIM('Data Table'!F36)))</f>
        <v>SS</v>
      </c>
      <c r="D39" s="106" t="str">
        <f ca="1">IF(ISBLANK(OFFSET('Data Table'!$A34,2,Settings!$G$5-1)),"",OFFSET('Data Table'!$A34,2,Settings!$G$5-1))</f>
        <v/>
      </c>
      <c r="E39" s="106" t="str">
        <f ca="1">IF(ISBLANK(OFFSET('Data Table'!$A34,2,Settings!$G$5)),"",OFFSET('Data Table'!$A34,2,Settings!$G$5))</f>
        <v/>
      </c>
      <c r="F39" s="143">
        <f ca="1">IF(ISBLANK(OFFSET('Data Table'!$A34,2,Settings!$G$5+1)),"",OFFSET('Data Table'!$A34,2,Settings!$G$5+1))</f>
        <v>20</v>
      </c>
      <c r="G39">
        <f t="shared" ca="1" si="0"/>
        <v>20</v>
      </c>
      <c r="H39">
        <f ca="1">IF(G39=-888,"",IF(G39=-999,Settings!$G$4,IF(AND($AA$6="Excluded",G39&gt;=Settings!$G$2),"",G39)))</f>
        <v>20</v>
      </c>
      <c r="I39">
        <f ca="1">IF(OR(G39=-999,G39=-888,AND($AA$6="Excluded",G39&gt;=Settings!$G$2)),"",G39)</f>
        <v>20</v>
      </c>
      <c r="K39" s="53"/>
      <c r="L39" s="126"/>
      <c r="M39" s="37" t="str">
        <f>Settings!$G$6</f>
        <v>are excluded.</v>
      </c>
      <c r="N39" s="37"/>
      <c r="O39" s="127"/>
      <c r="P39" s="49"/>
      <c r="Q39" s="87" t="s">
        <v>50</v>
      </c>
      <c r="R39" s="49" t="s">
        <v>51</v>
      </c>
      <c r="S39" s="49"/>
      <c r="T39" s="49"/>
      <c r="U39" s="49"/>
      <c r="V39" s="49"/>
      <c r="W39" s="49"/>
      <c r="X39" s="49"/>
      <c r="Y39" s="49"/>
      <c r="Z39" s="49"/>
      <c r="AA39" s="88"/>
      <c r="AB39" s="54"/>
    </row>
    <row r="40" spans="1:28" ht="15" customHeight="1" x14ac:dyDescent="0.2">
      <c r="A40" s="1">
        <v>35</v>
      </c>
      <c r="B40" t="str">
        <f>IF(ISERROR(MATCH(TRIM('Data Table'!D37),Settings!$G$15:$G$20,0)),TRIM('Data Table'!D37),LOOKUP(TRIM('Data Table'!D37),Settings!$G$15:$G$20,Settings!$H$15:$H$20))</f>
        <v>Richmond</v>
      </c>
      <c r="C40" t="str">
        <f>IF('Data Table'!F37="","SS",IF('Data Table'!F37="SF","SD",TRIM('Data Table'!F37)))</f>
        <v>SS</v>
      </c>
      <c r="D40" s="106" t="str">
        <f ca="1">IF(ISBLANK(OFFSET('Data Table'!$A35,2,Settings!$G$5-1)),"",OFFSET('Data Table'!$A35,2,Settings!$G$5-1))</f>
        <v/>
      </c>
      <c r="E40" s="106" t="str">
        <f ca="1">IF(ISBLANK(OFFSET('Data Table'!$A35,2,Settings!$G$5)),"",OFFSET('Data Table'!$A35,2,Settings!$G$5))</f>
        <v/>
      </c>
      <c r="F40" s="143">
        <f ca="1">IF(ISBLANK(OFFSET('Data Table'!$A35,2,Settings!$G$5+1)),"",OFFSET('Data Table'!$A35,2,Settings!$G$5+1))</f>
        <v>20</v>
      </c>
      <c r="G40">
        <f t="shared" ca="1" si="0"/>
        <v>20</v>
      </c>
      <c r="H40">
        <f ca="1">IF(G40=-888,"",IF(G40=-999,Settings!$G$4,IF(AND($AA$6="Excluded",G40&gt;=Settings!$G$2),"",G40)))</f>
        <v>20</v>
      </c>
      <c r="I40">
        <f ca="1">IF(OR(G40=-999,G40=-888,AND($AA$6="Excluded",G40&gt;=Settings!$G$2)),"",G40)</f>
        <v>20</v>
      </c>
      <c r="K40" s="53"/>
      <c r="L40" s="128"/>
      <c r="M40" s="44"/>
      <c r="N40" s="44"/>
      <c r="O40" s="129"/>
      <c r="P40" s="49"/>
      <c r="Q40" s="89" t="s">
        <v>52</v>
      </c>
      <c r="R40" s="90" t="s">
        <v>53</v>
      </c>
      <c r="S40" s="90"/>
      <c r="T40" s="90"/>
      <c r="U40" s="90"/>
      <c r="V40" s="90"/>
      <c r="W40" s="90"/>
      <c r="X40" s="90"/>
      <c r="Y40" s="90"/>
      <c r="Z40" s="90"/>
      <c r="AA40" s="91"/>
      <c r="AB40" s="54"/>
    </row>
    <row r="41" spans="1:28" ht="15" customHeight="1" thickBot="1" x14ac:dyDescent="0.25">
      <c r="A41" s="1">
        <v>36</v>
      </c>
      <c r="B41" t="str">
        <f>IF(ISERROR(MATCH(TRIM('Data Table'!D38),Settings!$G$15:$G$20,0)),TRIM('Data Table'!D38),LOOKUP(TRIM('Data Table'!D38),Settings!$G$15:$G$20,Settings!$H$15:$H$20))</f>
        <v>Richmond</v>
      </c>
      <c r="C41" t="str">
        <f>IF('Data Table'!F38="","SS",IF('Data Table'!F38="SF","SD",TRIM('Data Table'!F38)))</f>
        <v>SS</v>
      </c>
      <c r="D41" s="106" t="str">
        <f ca="1">IF(ISBLANK(OFFSET('Data Table'!$A36,2,Settings!$G$5-1)),"",OFFSET('Data Table'!$A36,2,Settings!$G$5-1))</f>
        <v/>
      </c>
      <c r="E41" s="106" t="str">
        <f ca="1">IF(ISBLANK(OFFSET('Data Table'!$A36,2,Settings!$G$5)),"",OFFSET('Data Table'!$A36,2,Settings!$G$5))</f>
        <v/>
      </c>
      <c r="F41" s="143">
        <f ca="1">IF(ISBLANK(OFFSET('Data Table'!$A36,2,Settings!$G$5+1)),"",OFFSET('Data Table'!$A36,2,Settings!$G$5+1))</f>
        <v>20</v>
      </c>
      <c r="G41">
        <f t="shared" ca="1" si="0"/>
        <v>20</v>
      </c>
      <c r="H41">
        <f ca="1">IF(G41=-888,"",IF(G41=-999,Settings!$G$4,IF(AND($AA$6="Excluded",G41&gt;=Settings!$G$2),"",G41)))</f>
        <v>20</v>
      </c>
      <c r="I41">
        <f ca="1">IF(OR(G41=-999,G41=-888,AND($AA$6="Excluded",G41&gt;=Settings!$G$2)),"",G41)</f>
        <v>20</v>
      </c>
      <c r="K41" s="55"/>
      <c r="L41" s="56"/>
      <c r="M41" s="56"/>
      <c r="N41" s="56"/>
      <c r="O41" s="57"/>
      <c r="P41" s="56"/>
      <c r="Q41" s="56"/>
      <c r="R41" s="56"/>
      <c r="S41" s="56"/>
      <c r="T41" s="56"/>
      <c r="U41" s="56"/>
      <c r="V41" s="56"/>
      <c r="W41" s="56"/>
      <c r="X41" s="56"/>
      <c r="Y41" s="56"/>
      <c r="Z41" s="56"/>
      <c r="AA41" s="56"/>
      <c r="AB41" s="58"/>
    </row>
    <row r="42" spans="1:28" x14ac:dyDescent="0.2">
      <c r="A42" s="1">
        <v>37</v>
      </c>
      <c r="B42" t="str">
        <f>IF(ISERROR(MATCH(TRIM('Data Table'!D39),Settings!$G$15:$G$20,0)),TRIM('Data Table'!D39),LOOKUP(TRIM('Data Table'!D39),Settings!$G$15:$G$20,Settings!$H$15:$H$20))</f>
        <v>Richmond</v>
      </c>
      <c r="C42" t="str">
        <f>IF('Data Table'!F39="","SS",IF('Data Table'!F39="SF","SD",TRIM('Data Table'!F39)))</f>
        <v>SS</v>
      </c>
      <c r="D42" s="106" t="str">
        <f ca="1">IF(ISBLANK(OFFSET('Data Table'!$A37,2,Settings!$G$5-1)),"",OFFSET('Data Table'!$A37,2,Settings!$G$5-1))</f>
        <v/>
      </c>
      <c r="E42" s="106" t="str">
        <f ca="1">IF(ISBLANK(OFFSET('Data Table'!$A37,2,Settings!$G$5)),"",OFFSET('Data Table'!$A37,2,Settings!$G$5))</f>
        <v/>
      </c>
      <c r="F42" s="143">
        <f ca="1">IF(ISBLANK(OFFSET('Data Table'!$A37,2,Settings!$G$5+1)),"",OFFSET('Data Table'!$A37,2,Settings!$G$5+1))</f>
        <v>20</v>
      </c>
      <c r="G42">
        <f t="shared" ca="1" si="0"/>
        <v>20</v>
      </c>
      <c r="H42">
        <f ca="1">IF(G42=-888,"",IF(G42=-999,Settings!$G$4,IF(AND($AA$6="Excluded",G42&gt;=Settings!$G$2),"",G42)))</f>
        <v>20</v>
      </c>
      <c r="I42">
        <f ca="1">IF(OR(G42=-999,G42=-888,AND($AA$6="Excluded",G42&gt;=Settings!$G$2)),"",G42)</f>
        <v>20</v>
      </c>
    </row>
    <row r="43" spans="1:28" x14ac:dyDescent="0.2">
      <c r="A43" s="1">
        <v>38</v>
      </c>
      <c r="B43" t="str">
        <f>IF(ISERROR(MATCH(TRIM('Data Table'!D40),Settings!$G$15:$G$20,0)),TRIM('Data Table'!D40),LOOKUP(TRIM('Data Table'!D40),Settings!$G$15:$G$20,Settings!$H$15:$H$20))</f>
        <v>Richmond</v>
      </c>
      <c r="C43" t="str">
        <f>IF('Data Table'!F40="","SS",IF('Data Table'!F40="SF","SD",TRIM('Data Table'!F40)))</f>
        <v>SD</v>
      </c>
      <c r="D43" s="106" t="str">
        <f ca="1">IF(ISBLANK(OFFSET('Data Table'!$A38,2,Settings!$G$5-1)),"",OFFSET('Data Table'!$A38,2,Settings!$G$5-1))</f>
        <v/>
      </c>
      <c r="E43" s="106" t="str">
        <f ca="1">IF(ISBLANK(OFFSET('Data Table'!$A38,2,Settings!$G$5)),"",OFFSET('Data Table'!$A38,2,Settings!$G$5))</f>
        <v/>
      </c>
      <c r="F43" s="143">
        <f ca="1">IF(ISBLANK(OFFSET('Data Table'!$A38,2,Settings!$G$5+1)),"",OFFSET('Data Table'!$A38,2,Settings!$G$5+1))</f>
        <v>20</v>
      </c>
      <c r="G43">
        <f t="shared" ca="1" si="0"/>
        <v>20</v>
      </c>
      <c r="H43">
        <f ca="1">IF(G43=-888,"",IF(G43=-999,Settings!$G$4,IF(AND($AA$6="Excluded",G43&gt;=Settings!$G$2),"",G43)))</f>
        <v>20</v>
      </c>
      <c r="I43">
        <f ca="1">IF(OR(G43=-999,G43=-888,AND($AA$6="Excluded",G43&gt;=Settings!$G$2)),"",G43)</f>
        <v>20</v>
      </c>
    </row>
    <row r="44" spans="1:28" x14ac:dyDescent="0.2">
      <c r="A44" s="1">
        <v>39</v>
      </c>
      <c r="B44" t="str">
        <f>IF(ISERROR(MATCH(TRIM('Data Table'!D41),Settings!$G$15:$G$20,0)),TRIM('Data Table'!D41),LOOKUP(TRIM('Data Table'!D41),Settings!$G$15:$G$20,Settings!$H$15:$H$20))</f>
        <v>Swain</v>
      </c>
      <c r="C44" t="str">
        <f>IF('Data Table'!F41="","SS",IF('Data Table'!F41="SF","SD",TRIM('Data Table'!F41)))</f>
        <v>SD</v>
      </c>
      <c r="D44" s="106">
        <f ca="1">IF(ISBLANK(OFFSET('Data Table'!$A39,2,Settings!$G$5-1)),"",OFFSET('Data Table'!$A39,2,Settings!$G$5-1))</f>
        <v>10</v>
      </c>
      <c r="E44" s="106" t="str">
        <f ca="1">IF(ISBLANK(OFFSET('Data Table'!$A39,2,Settings!$G$5)),"",OFFSET('Data Table'!$A39,2,Settings!$G$5))</f>
        <v/>
      </c>
      <c r="F44" s="143" t="str">
        <f ca="1">IF(ISBLANK(OFFSET('Data Table'!$A39,2,Settings!$G$5+1)),"",OFFSET('Data Table'!$A39,2,Settings!$G$5+1))</f>
        <v/>
      </c>
      <c r="G44">
        <f t="shared" ca="1" si="0"/>
        <v>10</v>
      </c>
      <c r="H44">
        <f ca="1">IF(G44=-888,"",IF(G44=-999,Settings!$G$4,IF(AND($AA$6="Excluded",G44&gt;=Settings!$G$2),"",G44)))</f>
        <v>10</v>
      </c>
      <c r="I44">
        <f ca="1">IF(OR(G44=-999,G44=-888,AND($AA$6="Excluded",G44&gt;=Settings!$G$2)),"",G44)</f>
        <v>10</v>
      </c>
    </row>
    <row r="45" spans="1:28" x14ac:dyDescent="0.2">
      <c r="A45" s="1">
        <v>40</v>
      </c>
      <c r="B45" t="str">
        <f>IF(ISERROR(MATCH(TRIM('Data Table'!D42),Settings!$G$15:$G$20,0)),TRIM('Data Table'!D42),LOOKUP(TRIM('Data Table'!D42),Settings!$G$15:$G$20,Settings!$H$15:$H$20))</f>
        <v>Johnston</v>
      </c>
      <c r="C45" t="str">
        <f>IF('Data Table'!F42="","SS",IF('Data Table'!F42="SF","SD",TRIM('Data Table'!F42)))</f>
        <v>SD</v>
      </c>
      <c r="D45" s="106" t="str">
        <f ca="1">IF(ISBLANK(OFFSET('Data Table'!$A40,2,Settings!$G$5-1)),"",OFFSET('Data Table'!$A40,2,Settings!$G$5-1))</f>
        <v/>
      </c>
      <c r="E45" s="106" t="str">
        <f ca="1">IF(ISBLANK(OFFSET('Data Table'!$A40,2,Settings!$G$5)),"",OFFSET('Data Table'!$A40,2,Settings!$G$5))</f>
        <v/>
      </c>
      <c r="F45" s="143">
        <f ca="1">IF(ISBLANK(OFFSET('Data Table'!$A40,2,Settings!$G$5+1)),"",OFFSET('Data Table'!$A40,2,Settings!$G$5+1))</f>
        <v>20</v>
      </c>
      <c r="G45">
        <f t="shared" ca="1" si="0"/>
        <v>20</v>
      </c>
      <c r="H45">
        <f ca="1">IF(G45=-888,"",IF(G45=-999,Settings!$G$4,IF(AND($AA$6="Excluded",G45&gt;=Settings!$G$2),"",G45)))</f>
        <v>20</v>
      </c>
      <c r="I45">
        <f ca="1">IF(OR(G45=-999,G45=-888,AND($AA$6="Excluded",G45&gt;=Settings!$G$2)),"",G45)</f>
        <v>20</v>
      </c>
    </row>
    <row r="46" spans="1:28" x14ac:dyDescent="0.2">
      <c r="A46" s="1">
        <v>41</v>
      </c>
      <c r="B46" t="str">
        <f>IF(ISERROR(MATCH(TRIM('Data Table'!D43),Settings!$G$15:$G$20,0)),TRIM('Data Table'!D43),LOOKUP(TRIM('Data Table'!D43),Settings!$G$15:$G$20,Settings!$H$15:$H$20))</f>
        <v>Johnston</v>
      </c>
      <c r="C46" t="str">
        <f>IF('Data Table'!F43="","SS",IF('Data Table'!F43="SF","SD",TRIM('Data Table'!F43)))</f>
        <v>SS</v>
      </c>
      <c r="D46" s="106" t="str">
        <f ca="1">IF(ISBLANK(OFFSET('Data Table'!$A41,2,Settings!$G$5-1)),"",OFFSET('Data Table'!$A41,2,Settings!$G$5-1))</f>
        <v/>
      </c>
      <c r="E46" s="106">
        <f ca="1">IF(ISBLANK(OFFSET('Data Table'!$A41,2,Settings!$G$5)),"",OFFSET('Data Table'!$A41,2,Settings!$G$5))</f>
        <v>7.92</v>
      </c>
      <c r="F46" s="143" t="str">
        <f ca="1">IF(ISBLANK(OFFSET('Data Table'!$A41,2,Settings!$G$5+1)),"",OFFSET('Data Table'!$A41,2,Settings!$G$5+1))</f>
        <v/>
      </c>
      <c r="G46">
        <f t="shared" ca="1" si="0"/>
        <v>7.92</v>
      </c>
      <c r="H46">
        <f ca="1">IF(G46=-888,"",IF(G46=-999,Settings!$G$4,IF(AND($AA$6="Excluded",G46&gt;=Settings!$G$2),"",G46)))</f>
        <v>7.92</v>
      </c>
      <c r="I46">
        <f ca="1">IF(OR(G46=-999,G46=-888,AND($AA$6="Excluded",G46&gt;=Settings!$G$2)),"",G46)</f>
        <v>7.92</v>
      </c>
    </row>
    <row r="47" spans="1:28" x14ac:dyDescent="0.2">
      <c r="A47" s="1">
        <v>42</v>
      </c>
      <c r="B47" t="str">
        <f>IF(ISERROR(MATCH(TRIM('Data Table'!D44),Settings!$G$15:$G$20,0)),TRIM('Data Table'!D44),LOOKUP(TRIM('Data Table'!D44),Settings!$G$15:$G$20,Settings!$H$15:$H$20))</f>
        <v>Johnston</v>
      </c>
      <c r="C47" t="str">
        <f>IF('Data Table'!F44="","SS",IF('Data Table'!F44="SF","SD",TRIM('Data Table'!F44)))</f>
        <v>SB</v>
      </c>
      <c r="D47" s="106" t="str">
        <f ca="1">IF(ISBLANK(OFFSET('Data Table'!$A42,2,Settings!$G$5-1)),"",OFFSET('Data Table'!$A42,2,Settings!$G$5-1))</f>
        <v/>
      </c>
      <c r="E47" s="106">
        <f ca="1">IF(ISBLANK(OFFSET('Data Table'!$A42,2,Settings!$G$5)),"",OFFSET('Data Table'!$A42,2,Settings!$G$5))</f>
        <v>29.807999999999996</v>
      </c>
      <c r="F47" s="143" t="str">
        <f ca="1">IF(ISBLANK(OFFSET('Data Table'!$A42,2,Settings!$G$5+1)),"",OFFSET('Data Table'!$A42,2,Settings!$G$5+1))</f>
        <v/>
      </c>
      <c r="G47">
        <f t="shared" ca="1" si="0"/>
        <v>29.807999999999996</v>
      </c>
      <c r="H47">
        <f ca="1">IF(G47=-888,"",IF(G47=-999,Settings!$G$4,IF(AND($AA$6="Excluded",G47&gt;=Settings!$G$2),"",G47)))</f>
        <v>29.807999999999996</v>
      </c>
      <c r="I47">
        <f ca="1">IF(OR(G47=-999,G47=-888,AND($AA$6="Excluded",G47&gt;=Settings!$G$2)),"",G47)</f>
        <v>29.807999999999996</v>
      </c>
    </row>
    <row r="48" spans="1:28" x14ac:dyDescent="0.2">
      <c r="A48" s="1">
        <v>43</v>
      </c>
      <c r="B48" t="str">
        <f>IF(ISERROR(MATCH(TRIM('Data Table'!D45),Settings!$G$15:$G$20,0)),TRIM('Data Table'!D45),LOOKUP(TRIM('Data Table'!D45),Settings!$G$15:$G$20,Settings!$H$15:$H$20))</f>
        <v>Mecklenburg</v>
      </c>
      <c r="C48" t="str">
        <f>IF('Data Table'!F45="","SS",IF('Data Table'!F45="SF","SD",TRIM('Data Table'!F45)))</f>
        <v>SB</v>
      </c>
      <c r="D48" s="106">
        <f ca="1">IF(ISBLANK(OFFSET('Data Table'!$A43,2,Settings!$G$5-1)),"",OFFSET('Data Table'!$A43,2,Settings!$G$5-1))</f>
        <v>34</v>
      </c>
      <c r="E48" s="106" t="str">
        <f ca="1">IF(ISBLANK(OFFSET('Data Table'!$A43,2,Settings!$G$5)),"",OFFSET('Data Table'!$A43,2,Settings!$G$5))</f>
        <v/>
      </c>
      <c r="F48" s="143" t="str">
        <f ca="1">IF(ISBLANK(OFFSET('Data Table'!$A43,2,Settings!$G$5+1)),"",OFFSET('Data Table'!$A43,2,Settings!$G$5+1))</f>
        <v/>
      </c>
      <c r="G48">
        <f t="shared" ca="1" si="0"/>
        <v>34</v>
      </c>
      <c r="H48">
        <f ca="1">IF(G48=-888,"",IF(G48=-999,Settings!$G$4,IF(AND($AA$6="Excluded",G48&gt;=Settings!$G$2),"",G48)))</f>
        <v>34</v>
      </c>
      <c r="I48">
        <f ca="1">IF(OR(G48=-999,G48=-888,AND($AA$6="Excluded",G48&gt;=Settings!$G$2)),"",G48)</f>
        <v>34</v>
      </c>
      <c r="O48" s="61"/>
    </row>
    <row r="49" spans="1:15" x14ac:dyDescent="0.2">
      <c r="A49" s="1">
        <v>44</v>
      </c>
      <c r="B49" t="str">
        <f>IF(ISERROR(MATCH(TRIM('Data Table'!D46),Settings!$G$15:$G$20,0)),TRIM('Data Table'!D46),LOOKUP(TRIM('Data Table'!D46),Settings!$G$15:$G$20,Settings!$H$15:$H$20))</f>
        <v>Wayne</v>
      </c>
      <c r="C49" t="str">
        <f>IF('Data Table'!F46="","SS",IF('Data Table'!F46="SF","SD",TRIM('Data Table'!F46)))</f>
        <v>SB</v>
      </c>
      <c r="D49" s="106" t="str">
        <f ca="1">IF(ISBLANK(OFFSET('Data Table'!$A44,2,Settings!$G$5-1)),"",OFFSET('Data Table'!$A44,2,Settings!$G$5-1))</f>
        <v/>
      </c>
      <c r="E49" s="106" t="str">
        <f ca="1">IF(ISBLANK(OFFSET('Data Table'!$A44,2,Settings!$G$5)),"",OFFSET('Data Table'!$A44,2,Settings!$G$5))</f>
        <v/>
      </c>
      <c r="F49" s="143">
        <f ca="1">IF(ISBLANK(OFFSET('Data Table'!$A44,2,Settings!$G$5+1)),"",OFFSET('Data Table'!$A44,2,Settings!$G$5+1))</f>
        <v>20</v>
      </c>
      <c r="G49">
        <f t="shared" ca="1" si="0"/>
        <v>20</v>
      </c>
      <c r="H49">
        <f ca="1">IF(G49=-888,"",IF(G49=-999,Settings!$G$4,IF(AND($AA$6="Excluded",G49&gt;=Settings!$G$2),"",G49)))</f>
        <v>20</v>
      </c>
      <c r="I49">
        <f ca="1">IF(OR(G49=-999,G49=-888,AND($AA$6="Excluded",G49&gt;=Settings!$G$2)),"",G49)</f>
        <v>20</v>
      </c>
      <c r="O49" s="61"/>
    </row>
    <row r="50" spans="1:15" x14ac:dyDescent="0.2">
      <c r="A50" s="1">
        <v>45</v>
      </c>
      <c r="B50" t="str">
        <f>IF(ISERROR(MATCH(TRIM('Data Table'!D47),Settings!$G$15:$G$20,0)),TRIM('Data Table'!D47),LOOKUP(TRIM('Data Table'!D47),Settings!$G$15:$G$20,Settings!$H$15:$H$20))</f>
        <v>Guilford</v>
      </c>
      <c r="C50" t="str">
        <f>IF('Data Table'!F47="","SS",IF('Data Table'!F47="SF","SD",TRIM('Data Table'!F47)))</f>
        <v>SB</v>
      </c>
      <c r="D50" s="106">
        <f ca="1">IF(ISBLANK(OFFSET('Data Table'!$A45,2,Settings!$G$5-1)),"",OFFSET('Data Table'!$A45,2,Settings!$G$5-1))</f>
        <v>31</v>
      </c>
      <c r="E50" s="106" t="str">
        <f ca="1">IF(ISBLANK(OFFSET('Data Table'!$A45,2,Settings!$G$5)),"",OFFSET('Data Table'!$A45,2,Settings!$G$5))</f>
        <v/>
      </c>
      <c r="F50" s="143" t="str">
        <f ca="1">IF(ISBLANK(OFFSET('Data Table'!$A45,2,Settings!$G$5+1)),"",OFFSET('Data Table'!$A45,2,Settings!$G$5+1))</f>
        <v/>
      </c>
      <c r="G50">
        <f t="shared" ca="1" si="0"/>
        <v>31</v>
      </c>
      <c r="H50">
        <f ca="1">IF(G50=-888,"",IF(G50=-999,Settings!$G$4,IF(AND($AA$6="Excluded",G50&gt;=Settings!$G$2),"",G50)))</f>
        <v>31</v>
      </c>
      <c r="I50">
        <f ca="1">IF(OR(G50=-999,G50=-888,AND($AA$6="Excluded",G50&gt;=Settings!$G$2)),"",G50)</f>
        <v>31</v>
      </c>
      <c r="O50" s="46"/>
    </row>
    <row r="51" spans="1:15" x14ac:dyDescent="0.2">
      <c r="A51" s="1">
        <v>46</v>
      </c>
      <c r="B51" t="str">
        <f>IF(ISERROR(MATCH(TRIM('Data Table'!D48),Settings!$G$15:$G$20,0)),TRIM('Data Table'!D48),LOOKUP(TRIM('Data Table'!D48),Settings!$G$15:$G$20,Settings!$H$15:$H$20))</f>
        <v>Guilford</v>
      </c>
      <c r="C51" t="str">
        <f>IF('Data Table'!F48="","SS",IF('Data Table'!F48="SF","SD",TRIM('Data Table'!F48)))</f>
        <v>SS</v>
      </c>
      <c r="D51" s="106">
        <f ca="1">IF(ISBLANK(OFFSET('Data Table'!$A46,2,Settings!$G$5-1)),"",OFFSET('Data Table'!$A46,2,Settings!$G$5-1))</f>
        <v>54</v>
      </c>
      <c r="E51" s="106" t="str">
        <f ca="1">IF(ISBLANK(OFFSET('Data Table'!$A46,2,Settings!$G$5)),"",OFFSET('Data Table'!$A46,2,Settings!$G$5))</f>
        <v/>
      </c>
      <c r="F51" s="143" t="str">
        <f ca="1">IF(ISBLANK(OFFSET('Data Table'!$A46,2,Settings!$G$5+1)),"",OFFSET('Data Table'!$A46,2,Settings!$G$5+1))</f>
        <v/>
      </c>
      <c r="G51">
        <f t="shared" ca="1" si="0"/>
        <v>54</v>
      </c>
      <c r="H51">
        <f ca="1">IF(G51=-888,"",IF(G51=-999,Settings!$G$4,IF(AND($AA$6="Excluded",G51&gt;=Settings!$G$2),"",G51)))</f>
        <v>54</v>
      </c>
      <c r="I51">
        <f ca="1">IF(OR(G51=-999,G51=-888,AND($AA$6="Excluded",G51&gt;=Settings!$G$2)),"",G51)</f>
        <v>54</v>
      </c>
      <c r="O51" s="46"/>
    </row>
    <row r="52" spans="1:15" x14ac:dyDescent="0.2">
      <c r="A52" s="1">
        <v>47</v>
      </c>
      <c r="B52" t="str">
        <f>IF(ISERROR(MATCH(TRIM('Data Table'!D49),Settings!$G$15:$G$20,0)),TRIM('Data Table'!D49),LOOKUP(TRIM('Data Table'!D49),Settings!$G$15:$G$20,Settings!$H$15:$H$20))</f>
        <v>Buncombe</v>
      </c>
      <c r="C52" t="str">
        <f>IF('Data Table'!F49="","SS",IF('Data Table'!F49="SF","SD",TRIM('Data Table'!F49)))</f>
        <v>SB</v>
      </c>
      <c r="D52" s="106" t="str">
        <f ca="1">IF(ISBLANK(OFFSET('Data Table'!$A47,2,Settings!$G$5-1)),"",OFFSET('Data Table'!$A47,2,Settings!$G$5-1))</f>
        <v/>
      </c>
      <c r="E52" s="106" t="str">
        <f ca="1">IF(ISBLANK(OFFSET('Data Table'!$A47,2,Settings!$G$5)),"",OFFSET('Data Table'!$A47,2,Settings!$G$5))</f>
        <v/>
      </c>
      <c r="F52" s="143">
        <f ca="1">IF(ISBLANK(OFFSET('Data Table'!$A47,2,Settings!$G$5+1)),"",OFFSET('Data Table'!$A47,2,Settings!$G$5+1))</f>
        <v>19</v>
      </c>
      <c r="G52">
        <f t="shared" ca="1" si="0"/>
        <v>19</v>
      </c>
      <c r="H52">
        <f ca="1">IF(G52=-888,"",IF(G52=-999,Settings!$G$4,IF(AND($AA$6="Excluded",G52&gt;=Settings!$G$2),"",G52)))</f>
        <v>19</v>
      </c>
      <c r="I52">
        <f ca="1">IF(OR(G52=-999,G52=-888,AND($AA$6="Excluded",G52&gt;=Settings!$G$2)),"",G52)</f>
        <v>19</v>
      </c>
      <c r="O52" s="46"/>
    </row>
    <row r="53" spans="1:15" x14ac:dyDescent="0.2">
      <c r="A53" s="1">
        <v>48</v>
      </c>
      <c r="B53" t="str">
        <f>IF(ISERROR(MATCH(TRIM('Data Table'!D50),Settings!$G$15:$G$20,0)),TRIM('Data Table'!D50),LOOKUP(TRIM('Data Table'!D50),Settings!$G$15:$G$20,Settings!$H$15:$H$20))</f>
        <v>Pitt</v>
      </c>
      <c r="C53" t="str">
        <f>IF('Data Table'!F50="","SS",IF('Data Table'!F50="SF","SD",TRIM('Data Table'!F50)))</f>
        <v>SD</v>
      </c>
      <c r="D53" s="106">
        <f ca="1">IF(ISBLANK(OFFSET('Data Table'!$A48,2,Settings!$G$5-1)),"",OFFSET('Data Table'!$A48,2,Settings!$G$5-1))</f>
        <v>5.3</v>
      </c>
      <c r="E53" s="106" t="str">
        <f ca="1">IF(ISBLANK(OFFSET('Data Table'!$A48,2,Settings!$G$5)),"",OFFSET('Data Table'!$A48,2,Settings!$G$5))</f>
        <v/>
      </c>
      <c r="F53" s="143" t="str">
        <f ca="1">IF(ISBLANK(OFFSET('Data Table'!$A48,2,Settings!$G$5+1)),"",OFFSET('Data Table'!$A48,2,Settings!$G$5+1))</f>
        <v/>
      </c>
      <c r="G53">
        <f t="shared" ca="1" si="0"/>
        <v>5.3</v>
      </c>
      <c r="H53">
        <f ca="1">IF(G53=-888,"",IF(G53=-999,Settings!$G$4,IF(AND($AA$6="Excluded",G53&gt;=Settings!$G$2),"",G53)))</f>
        <v>5.3</v>
      </c>
      <c r="I53">
        <f ca="1">IF(OR(G53=-999,G53=-888,AND($AA$6="Excluded",G53&gt;=Settings!$G$2)),"",G53)</f>
        <v>5.3</v>
      </c>
      <c r="O53" s="46"/>
    </row>
    <row r="54" spans="1:15" x14ac:dyDescent="0.2">
      <c r="A54" s="1">
        <v>49</v>
      </c>
      <c r="B54" t="str">
        <f>IF(ISERROR(MATCH(TRIM('Data Table'!D51),Settings!$G$15:$G$20,0)),TRIM('Data Table'!D51),LOOKUP(TRIM('Data Table'!D51),Settings!$G$15:$G$20,Settings!$H$15:$H$20))</f>
        <v>Buncombe</v>
      </c>
      <c r="C54" t="str">
        <f>IF('Data Table'!F51="","SS",IF('Data Table'!F51="SF","SD",TRIM('Data Table'!F51)))</f>
        <v>SD</v>
      </c>
      <c r="D54" s="106">
        <f ca="1">IF(ISBLANK(OFFSET('Data Table'!$A49,2,Settings!$G$5-1)),"",OFFSET('Data Table'!$A49,2,Settings!$G$5-1))</f>
        <v>14</v>
      </c>
      <c r="E54" s="106" t="str">
        <f ca="1">IF(ISBLANK(OFFSET('Data Table'!$A49,2,Settings!$G$5)),"",OFFSET('Data Table'!$A49,2,Settings!$G$5))</f>
        <v/>
      </c>
      <c r="F54" s="143" t="str">
        <f ca="1">IF(ISBLANK(OFFSET('Data Table'!$A49,2,Settings!$G$5+1)),"",OFFSET('Data Table'!$A49,2,Settings!$G$5+1))</f>
        <v/>
      </c>
      <c r="G54">
        <f t="shared" ca="1" si="0"/>
        <v>14</v>
      </c>
      <c r="H54">
        <f ca="1">IF(G54=-888,"",IF(G54=-999,Settings!$G$4,IF(AND($AA$6="Excluded",G54&gt;=Settings!$G$2),"",G54)))</f>
        <v>14</v>
      </c>
      <c r="I54">
        <f ca="1">IF(OR(G54=-999,G54=-888,AND($AA$6="Excluded",G54&gt;=Settings!$G$2)),"",G54)</f>
        <v>14</v>
      </c>
      <c r="O54" s="46"/>
    </row>
    <row r="55" spans="1:15" x14ac:dyDescent="0.2">
      <c r="A55" s="1">
        <v>50</v>
      </c>
      <c r="B55" t="str">
        <f>IF(ISERROR(MATCH(TRIM('Data Table'!D52),Settings!$G$15:$G$20,0)),TRIM('Data Table'!D52),LOOKUP(TRIM('Data Table'!D52),Settings!$G$15:$G$20,Settings!$H$15:$H$20))</f>
        <v>Buncombe</v>
      </c>
      <c r="C55" t="str">
        <f>IF('Data Table'!F52="","SS",IF('Data Table'!F52="SF","SD",TRIM('Data Table'!F52)))</f>
        <v>SD</v>
      </c>
      <c r="D55" s="106">
        <f ca="1">IF(ISBLANK(OFFSET('Data Table'!$A50,2,Settings!$G$5-1)),"",OFFSET('Data Table'!$A50,2,Settings!$G$5-1))</f>
        <v>12</v>
      </c>
      <c r="E55" s="106" t="str">
        <f ca="1">IF(ISBLANK(OFFSET('Data Table'!$A50,2,Settings!$G$5)),"",OFFSET('Data Table'!$A50,2,Settings!$G$5))</f>
        <v/>
      </c>
      <c r="F55" s="143" t="str">
        <f ca="1">IF(ISBLANK(OFFSET('Data Table'!$A50,2,Settings!$G$5+1)),"",OFFSET('Data Table'!$A50,2,Settings!$G$5+1))</f>
        <v/>
      </c>
      <c r="G55">
        <f t="shared" ca="1" si="0"/>
        <v>12</v>
      </c>
      <c r="H55">
        <f ca="1">IF(G55=-888,"",IF(G55=-999,Settings!$G$4,IF(AND($AA$6="Excluded",G55&gt;=Settings!$G$2),"",G55)))</f>
        <v>12</v>
      </c>
      <c r="I55">
        <f ca="1">IF(OR(G55=-999,G55=-888,AND($AA$6="Excluded",G55&gt;=Settings!$G$2)),"",G55)</f>
        <v>12</v>
      </c>
      <c r="O55" s="46"/>
    </row>
    <row r="56" spans="1:15" x14ac:dyDescent="0.2">
      <c r="A56" s="1">
        <v>51</v>
      </c>
      <c r="B56" t="str">
        <f>IF(ISERROR(MATCH(TRIM('Data Table'!D53),Settings!$G$15:$G$20,0)),TRIM('Data Table'!D53),LOOKUP(TRIM('Data Table'!D53),Settings!$G$15:$G$20,Settings!$H$15:$H$20))</f>
        <v>New Hanover</v>
      </c>
      <c r="C56" t="str">
        <f>IF('Data Table'!F53="","SS",IF('Data Table'!F53="SF","SD",TRIM('Data Table'!F53)))</f>
        <v>SS</v>
      </c>
      <c r="D56" s="106" t="str">
        <f ca="1">IF(ISBLANK(OFFSET('Data Table'!$A51,2,Settings!$G$5-1)),"",OFFSET('Data Table'!$A51,2,Settings!$G$5-1))</f>
        <v>#</v>
      </c>
      <c r="E56" s="106" t="str">
        <f ca="1">IF(ISBLANK(OFFSET('Data Table'!$A51,2,Settings!$G$5)),"",OFFSET('Data Table'!$A51,2,Settings!$G$5))</f>
        <v/>
      </c>
      <c r="F56" s="143" t="str">
        <f ca="1">IF(ISBLANK(OFFSET('Data Table'!$A51,2,Settings!$G$5+1)),"",OFFSET('Data Table'!$A51,2,Settings!$G$5+1))</f>
        <v/>
      </c>
      <c r="G56">
        <f t="shared" ca="1" si="0"/>
        <v>-999</v>
      </c>
      <c r="H56">
        <f ca="1">IF(G56=-888,"",IF(G56=-999,Settings!$G$4,IF(AND($AA$6="Excluded",G56&gt;=Settings!$G$2),"",G56)))</f>
        <v>5.0000000000000001E-3</v>
      </c>
      <c r="I56" t="str">
        <f ca="1">IF(OR(G56=-999,G56=-888,AND($AA$6="Excluded",G56&gt;=Settings!$G$2)),"",G56)</f>
        <v/>
      </c>
      <c r="O56" s="46"/>
    </row>
    <row r="57" spans="1:15" x14ac:dyDescent="0.2">
      <c r="A57" s="1">
        <v>52</v>
      </c>
      <c r="B57" t="str">
        <f>IF(ISERROR(MATCH(TRIM('Data Table'!D54),Settings!$G$15:$G$20,0)),TRIM('Data Table'!D54),LOOKUP(TRIM('Data Table'!D54),Settings!$G$15:$G$20,Settings!$H$15:$H$20))</f>
        <v>New Hanover</v>
      </c>
      <c r="C57" t="str">
        <f>IF('Data Table'!F54="","SS",IF('Data Table'!F54="SF","SD",TRIM('Data Table'!F54)))</f>
        <v>SB</v>
      </c>
      <c r="D57" s="106" t="str">
        <f ca="1">IF(ISBLANK(OFFSET('Data Table'!$A52,2,Settings!$G$5-1)),"",OFFSET('Data Table'!$A52,2,Settings!$G$5-1))</f>
        <v>#</v>
      </c>
      <c r="E57" s="106" t="str">
        <f ca="1">IF(ISBLANK(OFFSET('Data Table'!$A52,2,Settings!$G$5)),"",OFFSET('Data Table'!$A52,2,Settings!$G$5))</f>
        <v/>
      </c>
      <c r="F57" s="143" t="str">
        <f ca="1">IF(ISBLANK(OFFSET('Data Table'!$A52,2,Settings!$G$5+1)),"",OFFSET('Data Table'!$A52,2,Settings!$G$5+1))</f>
        <v/>
      </c>
      <c r="G57">
        <f t="shared" ca="1" si="0"/>
        <v>-999</v>
      </c>
      <c r="H57">
        <f ca="1">IF(G57=-888,"",IF(G57=-999,Settings!$G$4,IF(AND($AA$6="Excluded",G57&gt;=Settings!$G$2),"",G57)))</f>
        <v>5.0000000000000001E-3</v>
      </c>
      <c r="I57" t="str">
        <f ca="1">IF(OR(G57=-999,G57=-888,AND($AA$6="Excluded",G57&gt;=Settings!$G$2)),"",G57)</f>
        <v/>
      </c>
      <c r="O57" s="46"/>
    </row>
    <row r="58" spans="1:15" x14ac:dyDescent="0.2">
      <c r="A58" s="1">
        <v>53</v>
      </c>
      <c r="B58" t="str">
        <f>IF(ISERROR(MATCH(TRIM('Data Table'!D55),Settings!$G$15:$G$20,0)),TRIM('Data Table'!D55),LOOKUP(TRIM('Data Table'!D55),Settings!$G$15:$G$20,Settings!$H$15:$H$20))</f>
        <v>Person</v>
      </c>
      <c r="C58" t="str">
        <f>IF('Data Table'!F55="","SS",IF('Data Table'!F55="SF","SD",TRIM('Data Table'!F55)))</f>
        <v>SB</v>
      </c>
      <c r="D58" s="106">
        <f ca="1">IF(ISBLANK(OFFSET('Data Table'!$A53,2,Settings!$G$5-1)),"",OFFSET('Data Table'!$A53,2,Settings!$G$5-1))</f>
        <v>28</v>
      </c>
      <c r="E58" s="106" t="str">
        <f ca="1">IF(ISBLANK(OFFSET('Data Table'!$A53,2,Settings!$G$5)),"",OFFSET('Data Table'!$A53,2,Settings!$G$5))</f>
        <v/>
      </c>
      <c r="F58" s="143" t="str">
        <f ca="1">IF(ISBLANK(OFFSET('Data Table'!$A53,2,Settings!$G$5+1)),"",OFFSET('Data Table'!$A53,2,Settings!$G$5+1))</f>
        <v/>
      </c>
      <c r="G58">
        <f t="shared" ca="1" si="0"/>
        <v>28</v>
      </c>
      <c r="H58">
        <f ca="1">IF(G58=-888,"",IF(G58=-999,Settings!$G$4,IF(AND($AA$6="Excluded",G58&gt;=Settings!$G$2),"",G58)))</f>
        <v>28</v>
      </c>
      <c r="I58">
        <f ca="1">IF(OR(G58=-999,G58=-888,AND($AA$6="Excluded",G58&gt;=Settings!$G$2)),"",G58)</f>
        <v>28</v>
      </c>
      <c r="O58" s="46"/>
    </row>
    <row r="59" spans="1:15" x14ac:dyDescent="0.2">
      <c r="A59" s="1">
        <v>54</v>
      </c>
      <c r="B59" t="str">
        <f>IF(ISERROR(MATCH(TRIM('Data Table'!D56),Settings!$G$15:$G$20,0)),TRIM('Data Table'!D56),LOOKUP(TRIM('Data Table'!D56),Settings!$G$15:$G$20,Settings!$H$15:$H$20))</f>
        <v>Cleveland</v>
      </c>
      <c r="C59" t="str">
        <f>IF('Data Table'!F56="","SS",IF('Data Table'!F56="SF","SD",TRIM('Data Table'!F56)))</f>
        <v>SS</v>
      </c>
      <c r="D59" s="106">
        <f ca="1">IF(ISBLANK(OFFSET('Data Table'!$A54,2,Settings!$G$5-1)),"",OFFSET('Data Table'!$A54,2,Settings!$G$5-1))</f>
        <v>5</v>
      </c>
      <c r="E59" s="106" t="str">
        <f ca="1">IF(ISBLANK(OFFSET('Data Table'!$A54,2,Settings!$G$5)),"",OFFSET('Data Table'!$A54,2,Settings!$G$5))</f>
        <v/>
      </c>
      <c r="F59" s="143" t="str">
        <f ca="1">IF(ISBLANK(OFFSET('Data Table'!$A54,2,Settings!$G$5+1)),"",OFFSET('Data Table'!$A54,2,Settings!$G$5+1))</f>
        <v/>
      </c>
      <c r="G59">
        <f t="shared" ca="1" si="0"/>
        <v>5</v>
      </c>
      <c r="H59">
        <f ca="1">IF(G59=-888,"",IF(G59=-999,Settings!$G$4,IF(AND($AA$6="Excluded",G59&gt;=Settings!$G$2),"",G59)))</f>
        <v>5</v>
      </c>
      <c r="I59">
        <f ca="1">IF(OR(G59=-999,G59=-888,AND($AA$6="Excluded",G59&gt;=Settings!$G$2)),"",G59)</f>
        <v>5</v>
      </c>
      <c r="O59" s="46"/>
    </row>
    <row r="60" spans="1:15" x14ac:dyDescent="0.2">
      <c r="A60" s="1">
        <v>55</v>
      </c>
      <c r="B60" t="str">
        <f>IF(ISERROR(MATCH(TRIM('Data Table'!D57),Settings!$G$15:$G$20,0)),TRIM('Data Table'!D57),LOOKUP(TRIM('Data Table'!D57),Settings!$G$15:$G$20,Settings!$H$15:$H$20))</f>
        <v>Ashe</v>
      </c>
      <c r="C60" t="str">
        <f>IF('Data Table'!F57="","SS",IF('Data Table'!F57="SF","SD",TRIM('Data Table'!F57)))</f>
        <v>SD</v>
      </c>
      <c r="D60" s="106">
        <f ca="1">IF(ISBLANK(OFFSET('Data Table'!$A55,2,Settings!$G$5-1)),"",OFFSET('Data Table'!$A55,2,Settings!$G$5-1))</f>
        <v>13</v>
      </c>
      <c r="E60" s="106" t="str">
        <f ca="1">IF(ISBLANK(OFFSET('Data Table'!$A55,2,Settings!$G$5)),"",OFFSET('Data Table'!$A55,2,Settings!$G$5))</f>
        <v/>
      </c>
      <c r="F60" s="143" t="str">
        <f ca="1">IF(ISBLANK(OFFSET('Data Table'!$A55,2,Settings!$G$5+1)),"",OFFSET('Data Table'!$A55,2,Settings!$G$5+1))</f>
        <v/>
      </c>
      <c r="G60">
        <f t="shared" ca="1" si="0"/>
        <v>13</v>
      </c>
      <c r="H60">
        <f ca="1">IF(G60=-888,"",IF(G60=-999,Settings!$G$4,IF(AND($AA$6="Excluded",G60&gt;=Settings!$G$2),"",G60)))</f>
        <v>13</v>
      </c>
      <c r="I60">
        <f ca="1">IF(OR(G60=-999,G60=-888,AND($AA$6="Excluded",G60&gt;=Settings!$G$2)),"",G60)</f>
        <v>13</v>
      </c>
      <c r="O60" s="46"/>
    </row>
    <row r="61" spans="1:15" x14ac:dyDescent="0.2">
      <c r="A61" s="1">
        <v>56</v>
      </c>
      <c r="B61" t="str">
        <f>IF(ISERROR(MATCH(TRIM('Data Table'!D58),Settings!$G$15:$G$20,0)),TRIM('Data Table'!D58),LOOKUP(TRIM('Data Table'!D58),Settings!$G$15:$G$20,Settings!$H$15:$H$20))</f>
        <v>Ashe</v>
      </c>
      <c r="C61" t="str">
        <f>IF('Data Table'!F58="","SS",IF('Data Table'!F58="SF","SD",TRIM('Data Table'!F58)))</f>
        <v>SD</v>
      </c>
      <c r="D61" s="106">
        <f ca="1">IF(ISBLANK(OFFSET('Data Table'!$A56,2,Settings!$G$5-1)),"",OFFSET('Data Table'!$A56,2,Settings!$G$5-1))</f>
        <v>8.1</v>
      </c>
      <c r="E61" s="106" t="str">
        <f ca="1">IF(ISBLANK(OFFSET('Data Table'!$A56,2,Settings!$G$5)),"",OFFSET('Data Table'!$A56,2,Settings!$G$5))</f>
        <v/>
      </c>
      <c r="F61" s="143" t="str">
        <f ca="1">IF(ISBLANK(OFFSET('Data Table'!$A56,2,Settings!$G$5+1)),"",OFFSET('Data Table'!$A56,2,Settings!$G$5+1))</f>
        <v/>
      </c>
      <c r="G61">
        <f t="shared" ca="1" si="0"/>
        <v>8.1</v>
      </c>
      <c r="H61">
        <f ca="1">IF(G61=-888,"",IF(G61=-999,Settings!$G$4,IF(AND($AA$6="Excluded",G61&gt;=Settings!$G$2),"",G61)))</f>
        <v>8.1</v>
      </c>
      <c r="I61">
        <f ca="1">IF(OR(G61=-999,G61=-888,AND($AA$6="Excluded",G61&gt;=Settings!$G$2)),"",G61)</f>
        <v>8.1</v>
      </c>
      <c r="O61" s="46"/>
    </row>
    <row r="62" spans="1:15" x14ac:dyDescent="0.2">
      <c r="A62" s="1">
        <v>57</v>
      </c>
      <c r="B62" t="str">
        <f>IF(ISERROR(MATCH(TRIM('Data Table'!D59),Settings!$G$15:$G$20,0)),TRIM('Data Table'!D59),LOOKUP(TRIM('Data Table'!D59),Settings!$G$15:$G$20,Settings!$H$15:$H$20))</f>
        <v>Ashe</v>
      </c>
      <c r="C62" t="str">
        <f>IF('Data Table'!F59="","SS",IF('Data Table'!F59="SF","SD",TRIM('Data Table'!F59)))</f>
        <v>SD</v>
      </c>
      <c r="D62" s="106">
        <f ca="1">IF(ISBLANK(OFFSET('Data Table'!$A57,2,Settings!$G$5-1)),"",OFFSET('Data Table'!$A57,2,Settings!$G$5-1))</f>
        <v>9.3000000000000007</v>
      </c>
      <c r="E62" s="106" t="str">
        <f ca="1">IF(ISBLANK(OFFSET('Data Table'!$A57,2,Settings!$G$5)),"",OFFSET('Data Table'!$A57,2,Settings!$G$5))</f>
        <v/>
      </c>
      <c r="F62" s="143" t="str">
        <f ca="1">IF(ISBLANK(OFFSET('Data Table'!$A57,2,Settings!$G$5+1)),"",OFFSET('Data Table'!$A57,2,Settings!$G$5+1))</f>
        <v/>
      </c>
      <c r="G62">
        <f t="shared" ca="1" si="0"/>
        <v>9.3000000000000007</v>
      </c>
      <c r="H62">
        <f ca="1">IF(G62=-888,"",IF(G62=-999,Settings!$G$4,IF(AND($AA$6="Excluded",G62&gt;=Settings!$G$2),"",G62)))</f>
        <v>9.3000000000000007</v>
      </c>
      <c r="I62">
        <f ca="1">IF(OR(G62=-999,G62=-888,AND($AA$6="Excluded",G62&gt;=Settings!$G$2)),"",G62)</f>
        <v>9.3000000000000007</v>
      </c>
      <c r="O62" s="46"/>
    </row>
    <row r="63" spans="1:15" x14ac:dyDescent="0.2">
      <c r="A63" s="1">
        <v>58</v>
      </c>
      <c r="B63" t="str">
        <f>IF(ISERROR(MATCH(TRIM('Data Table'!D60),Settings!$G$15:$G$20,0)),TRIM('Data Table'!D60),LOOKUP(TRIM('Data Table'!D60),Settings!$G$15:$G$20,Settings!$H$15:$H$20))</f>
        <v>Ashe</v>
      </c>
      <c r="C63" t="str">
        <f>IF('Data Table'!F60="","SS",IF('Data Table'!F60="SF","SD",TRIM('Data Table'!F60)))</f>
        <v>SD</v>
      </c>
      <c r="D63" s="106">
        <f ca="1">IF(ISBLANK(OFFSET('Data Table'!$A58,2,Settings!$G$5-1)),"",OFFSET('Data Table'!$A58,2,Settings!$G$5-1))</f>
        <v>5.9</v>
      </c>
      <c r="E63" s="106" t="str">
        <f ca="1">IF(ISBLANK(OFFSET('Data Table'!$A58,2,Settings!$G$5)),"",OFFSET('Data Table'!$A58,2,Settings!$G$5))</f>
        <v/>
      </c>
      <c r="F63" s="143" t="str">
        <f ca="1">IF(ISBLANK(OFFSET('Data Table'!$A58,2,Settings!$G$5+1)),"",OFFSET('Data Table'!$A58,2,Settings!$G$5+1))</f>
        <v/>
      </c>
      <c r="G63">
        <f t="shared" ca="1" si="0"/>
        <v>5.9</v>
      </c>
      <c r="H63">
        <f ca="1">IF(G63=-888,"",IF(G63=-999,Settings!$G$4,IF(AND($AA$6="Excluded",G63&gt;=Settings!$G$2),"",G63)))</f>
        <v>5.9</v>
      </c>
      <c r="I63">
        <f ca="1">IF(OR(G63=-999,G63=-888,AND($AA$6="Excluded",G63&gt;=Settings!$G$2)),"",G63)</f>
        <v>5.9</v>
      </c>
      <c r="O63" s="46"/>
    </row>
    <row r="64" spans="1:15" x14ac:dyDescent="0.2">
      <c r="A64" s="1">
        <v>59</v>
      </c>
      <c r="B64" t="str">
        <f>IF(ISERROR(MATCH(TRIM('Data Table'!D61),Settings!$G$15:$G$20,0)),TRIM('Data Table'!D61),LOOKUP(TRIM('Data Table'!D61),Settings!$G$15:$G$20,Settings!$H$15:$H$20))</f>
        <v>Ashe</v>
      </c>
      <c r="C64" t="str">
        <f>IF('Data Table'!F61="","SS",IF('Data Table'!F61="SF","SD",TRIM('Data Table'!F61)))</f>
        <v>SB</v>
      </c>
      <c r="D64" s="106">
        <f ca="1">IF(ISBLANK(OFFSET('Data Table'!$A59,2,Settings!$G$5-1)),"",OFFSET('Data Table'!$A59,2,Settings!$G$5-1))</f>
        <v>10</v>
      </c>
      <c r="E64" s="106" t="str">
        <f ca="1">IF(ISBLANK(OFFSET('Data Table'!$A59,2,Settings!$G$5)),"",OFFSET('Data Table'!$A59,2,Settings!$G$5))</f>
        <v/>
      </c>
      <c r="F64" s="143" t="str">
        <f ca="1">IF(ISBLANK(OFFSET('Data Table'!$A59,2,Settings!$G$5+1)),"",OFFSET('Data Table'!$A59,2,Settings!$G$5+1))</f>
        <v/>
      </c>
      <c r="G64">
        <f t="shared" ca="1" si="0"/>
        <v>10</v>
      </c>
      <c r="H64">
        <f ca="1">IF(G64=-888,"",IF(G64=-999,Settings!$G$4,IF(AND($AA$6="Excluded",G64&gt;=Settings!$G$2),"",G64)))</f>
        <v>10</v>
      </c>
      <c r="I64">
        <f ca="1">IF(OR(G64=-999,G64=-888,AND($AA$6="Excluded",G64&gt;=Settings!$G$2)),"",G64)</f>
        <v>10</v>
      </c>
      <c r="O64" s="46"/>
    </row>
    <row r="65" spans="1:15" x14ac:dyDescent="0.2">
      <c r="A65" s="1">
        <v>60</v>
      </c>
      <c r="B65" t="str">
        <f>IF(ISERROR(MATCH(TRIM('Data Table'!D62),Settings!$G$15:$G$20,0)),TRIM('Data Table'!D62),LOOKUP(TRIM('Data Table'!D62),Settings!$G$15:$G$20,Settings!$H$15:$H$20))</f>
        <v>Ashe</v>
      </c>
      <c r="C65" t="str">
        <f>IF('Data Table'!F62="","SS",IF('Data Table'!F62="SF","SD",TRIM('Data Table'!F62)))</f>
        <v>SS</v>
      </c>
      <c r="D65" s="106" t="str">
        <f ca="1">IF(ISBLANK(OFFSET('Data Table'!$A60,2,Settings!$G$5-1)),"",OFFSET('Data Table'!$A60,2,Settings!$G$5-1))</f>
        <v/>
      </c>
      <c r="E65" s="106">
        <f ca="1">IF(ISBLANK(OFFSET('Data Table'!$A60,2,Settings!$G$5)),"",OFFSET('Data Table'!$A60,2,Settings!$G$5))</f>
        <v>18.72</v>
      </c>
      <c r="F65" s="143" t="str">
        <f ca="1">IF(ISBLANK(OFFSET('Data Table'!$A60,2,Settings!$G$5+1)),"",OFFSET('Data Table'!$A60,2,Settings!$G$5+1))</f>
        <v/>
      </c>
      <c r="G65">
        <f t="shared" ca="1" si="0"/>
        <v>18.72</v>
      </c>
      <c r="H65">
        <f ca="1">IF(G65=-888,"",IF(G65=-999,Settings!$G$4,IF(AND($AA$6="Excluded",G65&gt;=Settings!$G$2),"",G65)))</f>
        <v>18.72</v>
      </c>
      <c r="I65">
        <f ca="1">IF(OR(G65=-999,G65=-888,AND($AA$6="Excluded",G65&gt;=Settings!$G$2)),"",G65)</f>
        <v>18.72</v>
      </c>
      <c r="O65" s="46"/>
    </row>
    <row r="66" spans="1:15" x14ac:dyDescent="0.2">
      <c r="A66" s="1">
        <v>61</v>
      </c>
      <c r="B66" t="str">
        <f>IF(ISERROR(MATCH(TRIM('Data Table'!D63),Settings!$G$15:$G$20,0)),TRIM('Data Table'!D63),LOOKUP(TRIM('Data Table'!D63),Settings!$G$15:$G$20,Settings!$H$15:$H$20))</f>
        <v>Ashe</v>
      </c>
      <c r="C66" t="str">
        <f>IF('Data Table'!F63="","SS",IF('Data Table'!F63="SF","SD",TRIM('Data Table'!F63)))</f>
        <v>SD</v>
      </c>
      <c r="D66" s="106" t="str">
        <f ca="1">IF(ISBLANK(OFFSET('Data Table'!$A61,2,Settings!$G$5-1)),"",OFFSET('Data Table'!$A61,2,Settings!$G$5-1))</f>
        <v/>
      </c>
      <c r="E66" s="106">
        <f ca="1">IF(ISBLANK(OFFSET('Data Table'!$A61,2,Settings!$G$5)),"",OFFSET('Data Table'!$A61,2,Settings!$G$5))</f>
        <v>44.64</v>
      </c>
      <c r="F66" s="143" t="str">
        <f ca="1">IF(ISBLANK(OFFSET('Data Table'!$A61,2,Settings!$G$5+1)),"",OFFSET('Data Table'!$A61,2,Settings!$G$5+1))</f>
        <v/>
      </c>
      <c r="G66">
        <f t="shared" ca="1" si="0"/>
        <v>44.64</v>
      </c>
      <c r="H66">
        <f ca="1">IF(G66=-888,"",IF(G66=-999,Settings!$G$4,IF(AND($AA$6="Excluded",G66&gt;=Settings!$G$2),"",G66)))</f>
        <v>44.64</v>
      </c>
      <c r="I66">
        <f ca="1">IF(OR(G66=-999,G66=-888,AND($AA$6="Excluded",G66&gt;=Settings!$G$2)),"",G66)</f>
        <v>44.64</v>
      </c>
      <c r="O66" s="46"/>
    </row>
    <row r="67" spans="1:15" x14ac:dyDescent="0.2">
      <c r="A67" s="1">
        <v>62</v>
      </c>
      <c r="B67" t="str">
        <f>IF(ISERROR(MATCH(TRIM('Data Table'!D64),Settings!$G$15:$G$20,0)),TRIM('Data Table'!D64),LOOKUP(TRIM('Data Table'!D64),Settings!$G$15:$G$20,Settings!$H$15:$H$20))</f>
        <v>Ashe</v>
      </c>
      <c r="C67" t="str">
        <f>IF('Data Table'!F64="","SS",IF('Data Table'!F64="SF","SD",TRIM('Data Table'!F64)))</f>
        <v>SB</v>
      </c>
      <c r="D67" s="106" t="str">
        <f ca="1">IF(ISBLANK(OFFSET('Data Table'!$A62,2,Settings!$G$5-1)),"",OFFSET('Data Table'!$A62,2,Settings!$G$5-1))</f>
        <v/>
      </c>
      <c r="E67" s="106">
        <f ca="1">IF(ISBLANK(OFFSET('Data Table'!$A62,2,Settings!$G$5)),"",OFFSET('Data Table'!$A62,2,Settings!$G$5))</f>
        <v>8.0640000000000001</v>
      </c>
      <c r="F67" s="143" t="str">
        <f ca="1">IF(ISBLANK(OFFSET('Data Table'!$A62,2,Settings!$G$5+1)),"",OFFSET('Data Table'!$A62,2,Settings!$G$5+1))</f>
        <v/>
      </c>
      <c r="G67">
        <f t="shared" ca="1" si="0"/>
        <v>8.0640000000000001</v>
      </c>
      <c r="H67">
        <f ca="1">IF(G67=-888,"",IF(G67=-999,Settings!$G$4,IF(AND($AA$6="Excluded",G67&gt;=Settings!$G$2),"",G67)))</f>
        <v>8.0640000000000001</v>
      </c>
      <c r="I67">
        <f ca="1">IF(OR(G67=-999,G67=-888,AND($AA$6="Excluded",G67&gt;=Settings!$G$2)),"",G67)</f>
        <v>8.0640000000000001</v>
      </c>
      <c r="O67" s="46"/>
    </row>
    <row r="68" spans="1:15" x14ac:dyDescent="0.2">
      <c r="A68" s="1">
        <v>63</v>
      </c>
      <c r="B68" t="str">
        <f>IF(ISERROR(MATCH(TRIM('Data Table'!D65),Settings!$G$15:$G$20,0)),TRIM('Data Table'!D65),LOOKUP(TRIM('Data Table'!D65),Settings!$G$15:$G$20,Settings!$H$15:$H$20))</f>
        <v>Pasquotank</v>
      </c>
      <c r="C68" t="str">
        <f>IF('Data Table'!F65="","SS",IF('Data Table'!F65="SF","SD",TRIM('Data Table'!F65)))</f>
        <v>SS</v>
      </c>
      <c r="D68" s="106">
        <f ca="1">IF(ISBLANK(OFFSET('Data Table'!$A63,2,Settings!$G$5-1)),"",OFFSET('Data Table'!$A63,2,Settings!$G$5-1))</f>
        <v>0.76</v>
      </c>
      <c r="E68" s="106" t="str">
        <f ca="1">IF(ISBLANK(OFFSET('Data Table'!$A63,2,Settings!$G$5)),"",OFFSET('Data Table'!$A63,2,Settings!$G$5))</f>
        <v/>
      </c>
      <c r="F68" s="143" t="str">
        <f ca="1">IF(ISBLANK(OFFSET('Data Table'!$A63,2,Settings!$G$5+1)),"",OFFSET('Data Table'!$A63,2,Settings!$G$5+1))</f>
        <v/>
      </c>
      <c r="G68">
        <f t="shared" ca="1" si="0"/>
        <v>0.76</v>
      </c>
      <c r="H68">
        <f ca="1">IF(G68=-888,"",IF(G68=-999,Settings!$G$4,IF(AND($AA$6="Excluded",G68&gt;=Settings!$G$2),"",G68)))</f>
        <v>0.76</v>
      </c>
      <c r="I68">
        <f ca="1">IF(OR(G68=-999,G68=-888,AND($AA$6="Excluded",G68&gt;=Settings!$G$2)),"",G68)</f>
        <v>0.76</v>
      </c>
      <c r="O68" s="46"/>
    </row>
    <row r="69" spans="1:15" x14ac:dyDescent="0.2">
      <c r="A69" s="1">
        <v>64</v>
      </c>
      <c r="B69" t="str">
        <f>IF(ISERROR(MATCH(TRIM('Data Table'!D66),Settings!$G$15:$G$20,0)),TRIM('Data Table'!D66),LOOKUP(TRIM('Data Table'!D66),Settings!$G$15:$G$20,Settings!$H$15:$H$20))</f>
        <v>Pasquotank</v>
      </c>
      <c r="C69" t="str">
        <f>IF('Data Table'!F66="","SS",IF('Data Table'!F66="SF","SD",TRIM('Data Table'!F66)))</f>
        <v>SS</v>
      </c>
      <c r="D69" s="106">
        <f ca="1">IF(ISBLANK(OFFSET('Data Table'!$A64,2,Settings!$G$5-1)),"",OFFSET('Data Table'!$A64,2,Settings!$G$5-1))</f>
        <v>2.6</v>
      </c>
      <c r="E69" s="106" t="str">
        <f ca="1">IF(ISBLANK(OFFSET('Data Table'!$A64,2,Settings!$G$5)),"",OFFSET('Data Table'!$A64,2,Settings!$G$5))</f>
        <v/>
      </c>
      <c r="F69" s="143" t="str">
        <f ca="1">IF(ISBLANK(OFFSET('Data Table'!$A64,2,Settings!$G$5+1)),"",OFFSET('Data Table'!$A64,2,Settings!$G$5+1))</f>
        <v/>
      </c>
      <c r="G69">
        <f t="shared" ca="1" si="0"/>
        <v>2.6</v>
      </c>
      <c r="H69">
        <f ca="1">IF(G69=-888,"",IF(G69=-999,Settings!$G$4,IF(AND($AA$6="Excluded",G69&gt;=Settings!$G$2),"",G69)))</f>
        <v>2.6</v>
      </c>
      <c r="I69">
        <f ca="1">IF(OR(G69=-999,G69=-888,AND($AA$6="Excluded",G69&gt;=Settings!$G$2)),"",G69)</f>
        <v>2.6</v>
      </c>
      <c r="O69" s="46"/>
    </row>
    <row r="70" spans="1:15" x14ac:dyDescent="0.2">
      <c r="A70" s="1">
        <v>65</v>
      </c>
      <c r="B70" t="str">
        <f>IF(ISERROR(MATCH(TRIM('Data Table'!D67),Settings!$G$15:$G$20,0)),TRIM('Data Table'!D67),LOOKUP(TRIM('Data Table'!D67),Settings!$G$15:$G$20,Settings!$H$15:$H$20))</f>
        <v>Pasquotank</v>
      </c>
      <c r="C70" t="str">
        <f>IF('Data Table'!F67="","SS",IF('Data Table'!F67="SF","SD",TRIM('Data Table'!F67)))</f>
        <v>SS</v>
      </c>
      <c r="D70" s="106">
        <f ca="1">IF(ISBLANK(OFFSET('Data Table'!$A65,2,Settings!$G$5-1)),"",OFFSET('Data Table'!$A65,2,Settings!$G$5-1))</f>
        <v>0.94</v>
      </c>
      <c r="E70" s="106" t="str">
        <f ca="1">IF(ISBLANK(OFFSET('Data Table'!$A65,2,Settings!$G$5)),"",OFFSET('Data Table'!$A65,2,Settings!$G$5))</f>
        <v/>
      </c>
      <c r="F70" s="143" t="str">
        <f ca="1">IF(ISBLANK(OFFSET('Data Table'!$A65,2,Settings!$G$5+1)),"",OFFSET('Data Table'!$A65,2,Settings!$G$5+1))</f>
        <v/>
      </c>
      <c r="G70">
        <f t="shared" ref="G70:G133" ca="1" si="1">IF(COUNTIF(SOIL_DEPTH,C70)=0,"",IF(OR(D70="#",E70="#",F70="#"),-999,IF(AND(D70="",E70="",F70=""),-888,IF(COUNT(D70:F70)&gt;1,"ERROR",MAX(D70:F70)))))</f>
        <v>0.94</v>
      </c>
      <c r="H70">
        <f ca="1">IF(G70=-888,"",IF(G70=-999,Settings!$G$4,IF(AND($AA$6="Excluded",G70&gt;=Settings!$G$2),"",G70)))</f>
        <v>0.94</v>
      </c>
      <c r="I70">
        <f ca="1">IF(OR(G70=-999,G70=-888,AND($AA$6="Excluded",G70&gt;=Settings!$G$2)),"",G70)</f>
        <v>0.94</v>
      </c>
      <c r="O70" s="46"/>
    </row>
    <row r="71" spans="1:15" x14ac:dyDescent="0.2">
      <c r="A71" s="1">
        <v>66</v>
      </c>
      <c r="B71" t="str">
        <f>IF(ISERROR(MATCH(TRIM('Data Table'!D68),Settings!$G$15:$G$20,0)),TRIM('Data Table'!D68),LOOKUP(TRIM('Data Table'!D68),Settings!$G$15:$G$20,Settings!$H$15:$H$20))</f>
        <v>Pasquotank</v>
      </c>
      <c r="C71" t="str">
        <f>IF('Data Table'!F68="","SS",IF('Data Table'!F68="SF","SD",TRIM('Data Table'!F68)))</f>
        <v>SS</v>
      </c>
      <c r="D71" s="106">
        <f ca="1">IF(ISBLANK(OFFSET('Data Table'!$A66,2,Settings!$G$5-1)),"",OFFSET('Data Table'!$A66,2,Settings!$G$5-1))</f>
        <v>1.3</v>
      </c>
      <c r="E71" s="106" t="str">
        <f ca="1">IF(ISBLANK(OFFSET('Data Table'!$A66,2,Settings!$G$5)),"",OFFSET('Data Table'!$A66,2,Settings!$G$5))</f>
        <v/>
      </c>
      <c r="F71" s="143" t="str">
        <f ca="1">IF(ISBLANK(OFFSET('Data Table'!$A66,2,Settings!$G$5+1)),"",OFFSET('Data Table'!$A66,2,Settings!$G$5+1))</f>
        <v/>
      </c>
      <c r="G71">
        <f t="shared" ca="1" si="1"/>
        <v>1.3</v>
      </c>
      <c r="H71">
        <f ca="1">IF(G71=-888,"",IF(G71=-999,Settings!$G$4,IF(AND($AA$6="Excluded",G71&gt;=Settings!$G$2),"",G71)))</f>
        <v>1.3</v>
      </c>
      <c r="I71">
        <f ca="1">IF(OR(G71=-999,G71=-888,AND($AA$6="Excluded",G71&gt;=Settings!$G$2)),"",G71)</f>
        <v>1.3</v>
      </c>
      <c r="O71" s="46"/>
    </row>
    <row r="72" spans="1:15" x14ac:dyDescent="0.2">
      <c r="A72" s="1">
        <v>67</v>
      </c>
      <c r="B72" t="str">
        <f>IF(ISERROR(MATCH(TRIM('Data Table'!D69),Settings!$G$15:$G$20,0)),TRIM('Data Table'!D69),LOOKUP(TRIM('Data Table'!D69),Settings!$G$15:$G$20,Settings!$H$15:$H$20))</f>
        <v>Pasquotank</v>
      </c>
      <c r="C72" t="str">
        <f>IF('Data Table'!F69="","SS",IF('Data Table'!F69="SF","SD",TRIM('Data Table'!F69)))</f>
        <v>SS</v>
      </c>
      <c r="D72" s="106">
        <f ca="1">IF(ISBLANK(OFFSET('Data Table'!$A67,2,Settings!$G$5-1)),"",OFFSET('Data Table'!$A67,2,Settings!$G$5-1))</f>
        <v>7.6</v>
      </c>
      <c r="E72" s="106" t="str">
        <f ca="1">IF(ISBLANK(OFFSET('Data Table'!$A67,2,Settings!$G$5)),"",OFFSET('Data Table'!$A67,2,Settings!$G$5))</f>
        <v/>
      </c>
      <c r="F72" s="143" t="str">
        <f ca="1">IF(ISBLANK(OFFSET('Data Table'!$A67,2,Settings!$G$5+1)),"",OFFSET('Data Table'!$A67,2,Settings!$G$5+1))</f>
        <v/>
      </c>
      <c r="G72">
        <f t="shared" ca="1" si="1"/>
        <v>7.6</v>
      </c>
      <c r="H72">
        <f ca="1">IF(G72=-888,"",IF(G72=-999,Settings!$G$4,IF(AND($AA$6="Excluded",G72&gt;=Settings!$G$2),"",G72)))</f>
        <v>7.6</v>
      </c>
      <c r="I72">
        <f ca="1">IF(OR(G72=-999,G72=-888,AND($AA$6="Excluded",G72&gt;=Settings!$G$2)),"",G72)</f>
        <v>7.6</v>
      </c>
      <c r="O72" s="46"/>
    </row>
    <row r="73" spans="1:15" x14ac:dyDescent="0.2">
      <c r="A73" s="1">
        <v>68</v>
      </c>
      <c r="B73" t="str">
        <f>IF(ISERROR(MATCH(TRIM('Data Table'!D70),Settings!$G$15:$G$20,0)),TRIM('Data Table'!D70),LOOKUP(TRIM('Data Table'!D70),Settings!$G$15:$G$20,Settings!$H$15:$H$20))</f>
        <v>Columbus</v>
      </c>
      <c r="C73" t="str">
        <f>IF('Data Table'!F70="","SS",IF('Data Table'!F70="SF","SD",TRIM('Data Table'!F70)))</f>
        <v>SS</v>
      </c>
      <c r="D73" s="106" t="str">
        <f ca="1">IF(ISBLANK(OFFSET('Data Table'!$A68,2,Settings!$G$5-1)),"",OFFSET('Data Table'!$A68,2,Settings!$G$5-1))</f>
        <v/>
      </c>
      <c r="E73" s="106">
        <f ca="1">IF(ISBLANK(OFFSET('Data Table'!$A68,2,Settings!$G$5)),"",OFFSET('Data Table'!$A68,2,Settings!$G$5))</f>
        <v>14.399999999999999</v>
      </c>
      <c r="F73" s="143" t="str">
        <f ca="1">IF(ISBLANK(OFFSET('Data Table'!$A68,2,Settings!$G$5+1)),"",OFFSET('Data Table'!$A68,2,Settings!$G$5+1))</f>
        <v/>
      </c>
      <c r="G73">
        <f t="shared" ca="1" si="1"/>
        <v>14.399999999999999</v>
      </c>
      <c r="H73">
        <f ca="1">IF(G73=-888,"",IF(G73=-999,Settings!$G$4,IF(AND($AA$6="Excluded",G73&gt;=Settings!$G$2),"",G73)))</f>
        <v>14.399999999999999</v>
      </c>
      <c r="I73">
        <f ca="1">IF(OR(G73=-999,G73=-888,AND($AA$6="Excluded",G73&gt;=Settings!$G$2)),"",G73)</f>
        <v>14.399999999999999</v>
      </c>
      <c r="O73" s="46"/>
    </row>
    <row r="74" spans="1:15" x14ac:dyDescent="0.2">
      <c r="A74" s="1">
        <v>69</v>
      </c>
      <c r="B74" t="str">
        <f>IF(ISERROR(MATCH(TRIM('Data Table'!D71),Settings!$G$15:$G$20,0)),TRIM('Data Table'!D71),LOOKUP(TRIM('Data Table'!D71),Settings!$G$15:$G$20,Settings!$H$15:$H$20))</f>
        <v>Columbus</v>
      </c>
      <c r="C74" t="str">
        <f>IF('Data Table'!F71="","SS",IF('Data Table'!F71="SF","SD",TRIM('Data Table'!F71)))</f>
        <v>SD</v>
      </c>
      <c r="D74" s="106" t="str">
        <f ca="1">IF(ISBLANK(OFFSET('Data Table'!$A69,2,Settings!$G$5-1)),"",OFFSET('Data Table'!$A69,2,Settings!$G$5-1))</f>
        <v/>
      </c>
      <c r="E74" s="106">
        <f ca="1">IF(ISBLANK(OFFSET('Data Table'!$A69,2,Settings!$G$5)),"",OFFSET('Data Table'!$A69,2,Settings!$G$5))</f>
        <v>14.399999999999999</v>
      </c>
      <c r="F74" s="143" t="str">
        <f ca="1">IF(ISBLANK(OFFSET('Data Table'!$A69,2,Settings!$G$5+1)),"",OFFSET('Data Table'!$A69,2,Settings!$G$5+1))</f>
        <v/>
      </c>
      <c r="G74">
        <f t="shared" ca="1" si="1"/>
        <v>14.399999999999999</v>
      </c>
      <c r="H74">
        <f ca="1">IF(G74=-888,"",IF(G74=-999,Settings!$G$4,IF(AND($AA$6="Excluded",G74&gt;=Settings!$G$2),"",G74)))</f>
        <v>14.399999999999999</v>
      </c>
      <c r="I74">
        <f ca="1">IF(OR(G74=-999,G74=-888,AND($AA$6="Excluded",G74&gt;=Settings!$G$2)),"",G74)</f>
        <v>14.399999999999999</v>
      </c>
      <c r="O74" s="46"/>
    </row>
    <row r="75" spans="1:15" x14ac:dyDescent="0.2">
      <c r="A75" s="1">
        <v>70</v>
      </c>
      <c r="B75" t="str">
        <f>IF(ISERROR(MATCH(TRIM('Data Table'!D72),Settings!$G$15:$G$20,0)),TRIM('Data Table'!D72),LOOKUP(TRIM('Data Table'!D72),Settings!$G$15:$G$20,Settings!$H$15:$H$20))</f>
        <v>Cumberland</v>
      </c>
      <c r="C75" t="str">
        <f>IF('Data Table'!F72="","SS",IF('Data Table'!F72="SF","SD",TRIM('Data Table'!F72)))</f>
        <v>SS</v>
      </c>
      <c r="D75" s="106">
        <f ca="1">IF(ISBLANK(OFFSET('Data Table'!$A70,2,Settings!$G$5-1)),"",OFFSET('Data Table'!$A70,2,Settings!$G$5-1))</f>
        <v>12</v>
      </c>
      <c r="E75" s="106" t="str">
        <f ca="1">IF(ISBLANK(OFFSET('Data Table'!$A70,2,Settings!$G$5)),"",OFFSET('Data Table'!$A70,2,Settings!$G$5))</f>
        <v/>
      </c>
      <c r="F75" s="143" t="str">
        <f ca="1">IF(ISBLANK(OFFSET('Data Table'!$A70,2,Settings!$G$5+1)),"",OFFSET('Data Table'!$A70,2,Settings!$G$5+1))</f>
        <v/>
      </c>
      <c r="G75">
        <f t="shared" ca="1" si="1"/>
        <v>12</v>
      </c>
      <c r="H75">
        <f ca="1">IF(G75=-888,"",IF(G75=-999,Settings!$G$4,IF(AND($AA$6="Excluded",G75&gt;=Settings!$G$2),"",G75)))</f>
        <v>12</v>
      </c>
      <c r="I75">
        <f ca="1">IF(OR(G75=-999,G75=-888,AND($AA$6="Excluded",G75&gt;=Settings!$G$2)),"",G75)</f>
        <v>12</v>
      </c>
      <c r="O75" s="46"/>
    </row>
    <row r="76" spans="1:15" x14ac:dyDescent="0.2">
      <c r="A76" s="1">
        <v>71</v>
      </c>
      <c r="B76" t="str">
        <f>IF(ISERROR(MATCH(TRIM('Data Table'!D73),Settings!$G$15:$G$20,0)),TRIM('Data Table'!D73),LOOKUP(TRIM('Data Table'!D73),Settings!$G$15:$G$20,Settings!$H$15:$H$20))</f>
        <v>Brunswick</v>
      </c>
      <c r="C76" t="str">
        <f>IF('Data Table'!F73="","SS",IF('Data Table'!F73="SF","SD",TRIM('Data Table'!F73)))</f>
        <v>SB</v>
      </c>
      <c r="D76" s="106">
        <f ca="1">IF(ISBLANK(OFFSET('Data Table'!$A71,2,Settings!$G$5-1)),"",OFFSET('Data Table'!$A71,2,Settings!$G$5-1))</f>
        <v>35</v>
      </c>
      <c r="E76" s="106" t="str">
        <f ca="1">IF(ISBLANK(OFFSET('Data Table'!$A71,2,Settings!$G$5)),"",OFFSET('Data Table'!$A71,2,Settings!$G$5))</f>
        <v/>
      </c>
      <c r="F76" s="143" t="str">
        <f ca="1">IF(ISBLANK(OFFSET('Data Table'!$A71,2,Settings!$G$5+1)),"",OFFSET('Data Table'!$A71,2,Settings!$G$5+1))</f>
        <v/>
      </c>
      <c r="G76">
        <f t="shared" ca="1" si="1"/>
        <v>35</v>
      </c>
      <c r="H76">
        <f ca="1">IF(G76=-888,"",IF(G76=-999,Settings!$G$4,IF(AND($AA$6="Excluded",G76&gt;=Settings!$G$2),"",G76)))</f>
        <v>35</v>
      </c>
      <c r="I76">
        <f ca="1">IF(OR(G76=-999,G76=-888,AND($AA$6="Excluded",G76&gt;=Settings!$G$2)),"",G76)</f>
        <v>35</v>
      </c>
      <c r="O76" s="46"/>
    </row>
    <row r="77" spans="1:15" x14ac:dyDescent="0.2">
      <c r="A77" s="1">
        <v>72</v>
      </c>
      <c r="B77" t="str">
        <f>IF(ISERROR(MATCH(TRIM('Data Table'!D74),Settings!$G$15:$G$20,0)),TRIM('Data Table'!D74),LOOKUP(TRIM('Data Table'!D74),Settings!$G$15:$G$20,Settings!$H$15:$H$20))</f>
        <v>Columbus</v>
      </c>
      <c r="C77" t="str">
        <f>IF('Data Table'!F74="","SS",IF('Data Table'!F74="SF","SD",TRIM('Data Table'!F74)))</f>
        <v>SS</v>
      </c>
      <c r="D77" s="106" t="str">
        <f ca="1">IF(ISBLANK(OFFSET('Data Table'!$A72,2,Settings!$G$5-1)),"",OFFSET('Data Table'!$A72,2,Settings!$G$5-1))</f>
        <v/>
      </c>
      <c r="E77" s="106">
        <f ca="1">IF(ISBLANK(OFFSET('Data Table'!$A72,2,Settings!$G$5)),"",OFFSET('Data Table'!$A72,2,Settings!$G$5))</f>
        <v>12.24</v>
      </c>
      <c r="F77" s="143" t="str">
        <f ca="1">IF(ISBLANK(OFFSET('Data Table'!$A72,2,Settings!$G$5+1)),"",OFFSET('Data Table'!$A72,2,Settings!$G$5+1))</f>
        <v/>
      </c>
      <c r="G77">
        <f t="shared" ca="1" si="1"/>
        <v>12.24</v>
      </c>
      <c r="H77">
        <f ca="1">IF(G77=-888,"",IF(G77=-999,Settings!$G$4,IF(AND($AA$6="Excluded",G77&gt;=Settings!$G$2),"",G77)))</f>
        <v>12.24</v>
      </c>
      <c r="I77">
        <f ca="1">IF(OR(G77=-999,G77=-888,AND($AA$6="Excluded",G77&gt;=Settings!$G$2)),"",G77)</f>
        <v>12.24</v>
      </c>
      <c r="O77" s="46"/>
    </row>
    <row r="78" spans="1:15" x14ac:dyDescent="0.2">
      <c r="A78" s="1">
        <v>73</v>
      </c>
      <c r="B78" t="str">
        <f>IF(ISERROR(MATCH(TRIM('Data Table'!D75),Settings!$G$15:$G$20,0)),TRIM('Data Table'!D75),LOOKUP(TRIM('Data Table'!D75),Settings!$G$15:$G$20,Settings!$H$15:$H$20))</f>
        <v>Columbus</v>
      </c>
      <c r="C78" t="str">
        <f>IF('Data Table'!F75="","SS",IF('Data Table'!F75="SF","SD",TRIM('Data Table'!F75)))</f>
        <v>SD</v>
      </c>
      <c r="D78" s="106" t="str">
        <f ca="1">IF(ISBLANK(OFFSET('Data Table'!$A73,2,Settings!$G$5-1)),"",OFFSET('Data Table'!$A73,2,Settings!$G$5-1))</f>
        <v/>
      </c>
      <c r="E78" s="106" t="str">
        <f ca="1">IF(ISBLANK(OFFSET('Data Table'!$A73,2,Settings!$G$5)),"",OFFSET('Data Table'!$A73,2,Settings!$G$5))</f>
        <v/>
      </c>
      <c r="F78" s="143">
        <f ca="1">IF(ISBLANK(OFFSET('Data Table'!$A73,2,Settings!$G$5+1)),"",OFFSET('Data Table'!$A73,2,Settings!$G$5+1))</f>
        <v>20</v>
      </c>
      <c r="G78">
        <f t="shared" ca="1" si="1"/>
        <v>20</v>
      </c>
      <c r="H78">
        <f ca="1">IF(G78=-888,"",IF(G78=-999,Settings!$G$4,IF(AND($AA$6="Excluded",G78&gt;=Settings!$G$2),"",G78)))</f>
        <v>20</v>
      </c>
      <c r="I78">
        <f ca="1">IF(OR(G78=-999,G78=-888,AND($AA$6="Excluded",G78&gt;=Settings!$G$2)),"",G78)</f>
        <v>20</v>
      </c>
      <c r="O78" s="46"/>
    </row>
    <row r="79" spans="1:15" x14ac:dyDescent="0.2">
      <c r="A79" s="1">
        <v>74</v>
      </c>
      <c r="B79" t="str">
        <f>IF(ISERROR(MATCH(TRIM('Data Table'!D76),Settings!$G$15:$G$20,0)),TRIM('Data Table'!D76),LOOKUP(TRIM('Data Table'!D76),Settings!$G$15:$G$20,Settings!$H$15:$H$20))</f>
        <v>Burke</v>
      </c>
      <c r="C79" t="str">
        <f>IF('Data Table'!F76="","SS",IF('Data Table'!F76="SF","SD",TRIM('Data Table'!F76)))</f>
        <v>SS</v>
      </c>
      <c r="D79" s="106">
        <f ca="1">IF(ISBLANK(OFFSET('Data Table'!$A74,2,Settings!$G$5-1)),"",OFFSET('Data Table'!$A74,2,Settings!$G$5-1))</f>
        <v>16</v>
      </c>
      <c r="E79" s="106" t="str">
        <f ca="1">IF(ISBLANK(OFFSET('Data Table'!$A74,2,Settings!$G$5)),"",OFFSET('Data Table'!$A74,2,Settings!$G$5))</f>
        <v/>
      </c>
      <c r="F79" s="143" t="str">
        <f ca="1">IF(ISBLANK(OFFSET('Data Table'!$A74,2,Settings!$G$5+1)),"",OFFSET('Data Table'!$A74,2,Settings!$G$5+1))</f>
        <v/>
      </c>
      <c r="G79">
        <f t="shared" ca="1" si="1"/>
        <v>16</v>
      </c>
      <c r="H79">
        <f ca="1">IF(G79=-888,"",IF(G79=-999,Settings!$G$4,IF(AND($AA$6="Excluded",G79&gt;=Settings!$G$2),"",G79)))</f>
        <v>16</v>
      </c>
      <c r="I79">
        <f ca="1">IF(OR(G79=-999,G79=-888,AND($AA$6="Excluded",G79&gt;=Settings!$G$2)),"",G79)</f>
        <v>16</v>
      </c>
      <c r="O79" s="46"/>
    </row>
    <row r="80" spans="1:15" x14ac:dyDescent="0.2">
      <c r="A80" s="1">
        <v>75</v>
      </c>
      <c r="B80" t="str">
        <f>IF(ISERROR(MATCH(TRIM('Data Table'!D77),Settings!$G$15:$G$20,0)),TRIM('Data Table'!D77),LOOKUP(TRIM('Data Table'!D77),Settings!$G$15:$G$20,Settings!$H$15:$H$20))</f>
        <v>Burke</v>
      </c>
      <c r="C80" t="str">
        <f>IF('Data Table'!F77="","SS",IF('Data Table'!F77="SF","SD",TRIM('Data Table'!F77)))</f>
        <v>SS</v>
      </c>
      <c r="D80" s="106">
        <f ca="1">IF(ISBLANK(OFFSET('Data Table'!$A75,2,Settings!$G$5-1)),"",OFFSET('Data Table'!$A75,2,Settings!$G$5-1))</f>
        <v>16</v>
      </c>
      <c r="E80" s="106" t="str">
        <f ca="1">IF(ISBLANK(OFFSET('Data Table'!$A75,2,Settings!$G$5)),"",OFFSET('Data Table'!$A75,2,Settings!$G$5))</f>
        <v/>
      </c>
      <c r="F80" s="143" t="str">
        <f ca="1">IF(ISBLANK(OFFSET('Data Table'!$A75,2,Settings!$G$5+1)),"",OFFSET('Data Table'!$A75,2,Settings!$G$5+1))</f>
        <v/>
      </c>
      <c r="G80">
        <f t="shared" ca="1" si="1"/>
        <v>16</v>
      </c>
      <c r="H80">
        <f ca="1">IF(G80=-888,"",IF(G80=-999,Settings!$G$4,IF(AND($AA$6="Excluded",G80&gt;=Settings!$G$2),"",G80)))</f>
        <v>16</v>
      </c>
      <c r="I80">
        <f ca="1">IF(OR(G80=-999,G80=-888,AND($AA$6="Excluded",G80&gt;=Settings!$G$2)),"",G80)</f>
        <v>16</v>
      </c>
      <c r="O80" s="46"/>
    </row>
    <row r="81" spans="1:15" x14ac:dyDescent="0.2">
      <c r="A81" s="1">
        <v>76</v>
      </c>
      <c r="B81" t="str">
        <f>IF(ISERROR(MATCH(TRIM('Data Table'!D78),Settings!$G$15:$G$20,0)),TRIM('Data Table'!D78),LOOKUP(TRIM('Data Table'!D78),Settings!$G$15:$G$20,Settings!$H$15:$H$20))</f>
        <v>Burke</v>
      </c>
      <c r="C81" t="str">
        <f>IF('Data Table'!F78="","SS",IF('Data Table'!F78="SF","SD",TRIM('Data Table'!F78)))</f>
        <v>SD</v>
      </c>
      <c r="D81" s="106">
        <f ca="1">IF(ISBLANK(OFFSET('Data Table'!$A76,2,Settings!$G$5-1)),"",OFFSET('Data Table'!$A76,2,Settings!$G$5-1))</f>
        <v>21</v>
      </c>
      <c r="E81" s="106" t="str">
        <f ca="1">IF(ISBLANK(OFFSET('Data Table'!$A76,2,Settings!$G$5)),"",OFFSET('Data Table'!$A76,2,Settings!$G$5))</f>
        <v/>
      </c>
      <c r="F81" s="143" t="str">
        <f ca="1">IF(ISBLANK(OFFSET('Data Table'!$A76,2,Settings!$G$5+1)),"",OFFSET('Data Table'!$A76,2,Settings!$G$5+1))</f>
        <v/>
      </c>
      <c r="G81">
        <f t="shared" ca="1" si="1"/>
        <v>21</v>
      </c>
      <c r="H81">
        <f ca="1">IF(G81=-888,"",IF(G81=-999,Settings!$G$4,IF(AND($AA$6="Excluded",G81&gt;=Settings!$G$2),"",G81)))</f>
        <v>21</v>
      </c>
      <c r="I81">
        <f ca="1">IF(OR(G81=-999,G81=-888,AND($AA$6="Excluded",G81&gt;=Settings!$G$2)),"",G81)</f>
        <v>21</v>
      </c>
      <c r="O81" s="46"/>
    </row>
    <row r="82" spans="1:15" x14ac:dyDescent="0.2">
      <c r="A82" s="1">
        <v>77</v>
      </c>
      <c r="B82" t="str">
        <f>IF(ISERROR(MATCH(TRIM('Data Table'!D79),Settings!$G$15:$G$20,0)),TRIM('Data Table'!D79),LOOKUP(TRIM('Data Table'!D79),Settings!$G$15:$G$20,Settings!$H$15:$H$20))</f>
        <v>Burke</v>
      </c>
      <c r="C82" t="str">
        <f>IF('Data Table'!F79="","SS",IF('Data Table'!F79="SF","SD",TRIM('Data Table'!F79)))</f>
        <v>SD</v>
      </c>
      <c r="D82" s="106">
        <f ca="1">IF(ISBLANK(OFFSET('Data Table'!$A77,2,Settings!$G$5-1)),"",OFFSET('Data Table'!$A77,2,Settings!$G$5-1))</f>
        <v>32</v>
      </c>
      <c r="E82" s="106" t="str">
        <f ca="1">IF(ISBLANK(OFFSET('Data Table'!$A77,2,Settings!$G$5)),"",OFFSET('Data Table'!$A77,2,Settings!$G$5))</f>
        <v/>
      </c>
      <c r="F82" s="143" t="str">
        <f ca="1">IF(ISBLANK(OFFSET('Data Table'!$A77,2,Settings!$G$5+1)),"",OFFSET('Data Table'!$A77,2,Settings!$G$5+1))</f>
        <v/>
      </c>
      <c r="G82">
        <f t="shared" ca="1" si="1"/>
        <v>32</v>
      </c>
      <c r="H82">
        <f ca="1">IF(G82=-888,"",IF(G82=-999,Settings!$G$4,IF(AND($AA$6="Excluded",G82&gt;=Settings!$G$2),"",G82)))</f>
        <v>32</v>
      </c>
      <c r="I82">
        <f ca="1">IF(OR(G82=-999,G82=-888,AND($AA$6="Excluded",G82&gt;=Settings!$G$2)),"",G82)</f>
        <v>32</v>
      </c>
      <c r="O82" s="46"/>
    </row>
    <row r="83" spans="1:15" x14ac:dyDescent="0.2">
      <c r="A83" s="1">
        <v>78</v>
      </c>
      <c r="B83" t="str">
        <f>IF(ISERROR(MATCH(TRIM('Data Table'!D80),Settings!$G$15:$G$20,0)),TRIM('Data Table'!D80),LOOKUP(TRIM('Data Table'!D80),Settings!$G$15:$G$20,Settings!$H$15:$H$20))</f>
        <v>Burke</v>
      </c>
      <c r="C83" t="str">
        <f>IF('Data Table'!F80="","SS",IF('Data Table'!F80="SF","SD",TRIM('Data Table'!F80)))</f>
        <v>SD</v>
      </c>
      <c r="D83" s="106">
        <f ca="1">IF(ISBLANK(OFFSET('Data Table'!$A78,2,Settings!$G$5-1)),"",OFFSET('Data Table'!$A78,2,Settings!$G$5-1))</f>
        <v>15</v>
      </c>
      <c r="E83" s="106" t="str">
        <f ca="1">IF(ISBLANK(OFFSET('Data Table'!$A78,2,Settings!$G$5)),"",OFFSET('Data Table'!$A78,2,Settings!$G$5))</f>
        <v/>
      </c>
      <c r="F83" s="143" t="str">
        <f ca="1">IF(ISBLANK(OFFSET('Data Table'!$A78,2,Settings!$G$5+1)),"",OFFSET('Data Table'!$A78,2,Settings!$G$5+1))</f>
        <v/>
      </c>
      <c r="G83">
        <f t="shared" ca="1" si="1"/>
        <v>15</v>
      </c>
      <c r="H83">
        <f ca="1">IF(G83=-888,"",IF(G83=-999,Settings!$G$4,IF(AND($AA$6="Excluded",G83&gt;=Settings!$G$2),"",G83)))</f>
        <v>15</v>
      </c>
      <c r="I83">
        <f ca="1">IF(OR(G83=-999,G83=-888,AND($AA$6="Excluded",G83&gt;=Settings!$G$2)),"",G83)</f>
        <v>15</v>
      </c>
      <c r="O83" s="46"/>
    </row>
    <row r="84" spans="1:15" x14ac:dyDescent="0.2">
      <c r="A84" s="1">
        <v>79</v>
      </c>
      <c r="B84" t="str">
        <f>IF(ISERROR(MATCH(TRIM('Data Table'!D81),Settings!$G$15:$G$20,0)),TRIM('Data Table'!D81),LOOKUP(TRIM('Data Table'!D81),Settings!$G$15:$G$20,Settings!$H$15:$H$20))</f>
        <v>Mecklenburg</v>
      </c>
      <c r="C84" t="str">
        <f>IF('Data Table'!F81="","SS",IF('Data Table'!F81="SF","SD",TRIM('Data Table'!F81)))</f>
        <v>SS</v>
      </c>
      <c r="D84" s="106">
        <f ca="1">IF(ISBLANK(OFFSET('Data Table'!$A79,2,Settings!$G$5-1)),"",OFFSET('Data Table'!$A79,2,Settings!$G$5-1))</f>
        <v>9.8000000000000007</v>
      </c>
      <c r="E84" s="106" t="str">
        <f ca="1">IF(ISBLANK(OFFSET('Data Table'!$A79,2,Settings!$G$5)),"",OFFSET('Data Table'!$A79,2,Settings!$G$5))</f>
        <v/>
      </c>
      <c r="F84" s="143" t="str">
        <f ca="1">IF(ISBLANK(OFFSET('Data Table'!$A79,2,Settings!$G$5+1)),"",OFFSET('Data Table'!$A79,2,Settings!$G$5+1))</f>
        <v/>
      </c>
      <c r="G84">
        <f t="shared" ca="1" si="1"/>
        <v>9.8000000000000007</v>
      </c>
      <c r="H84">
        <f ca="1">IF(G84=-888,"",IF(G84=-999,Settings!$G$4,IF(AND($AA$6="Excluded",G84&gt;=Settings!$G$2),"",G84)))</f>
        <v>9.8000000000000007</v>
      </c>
      <c r="I84">
        <f ca="1">IF(OR(G84=-999,G84=-888,AND($AA$6="Excluded",G84&gt;=Settings!$G$2)),"",G84)</f>
        <v>9.8000000000000007</v>
      </c>
      <c r="O84" s="46"/>
    </row>
    <row r="85" spans="1:15" x14ac:dyDescent="0.2">
      <c r="A85" s="1">
        <v>80</v>
      </c>
      <c r="B85" t="str">
        <f>IF(ISERROR(MATCH(TRIM('Data Table'!D82),Settings!$G$15:$G$20,0)),TRIM('Data Table'!D82),LOOKUP(TRIM('Data Table'!D82),Settings!$G$15:$G$20,Settings!$H$15:$H$20))</f>
        <v>Mecklenburg</v>
      </c>
      <c r="C85" t="str">
        <f>IF('Data Table'!F82="","SS",IF('Data Table'!F82="SF","SD",TRIM('Data Table'!F82)))</f>
        <v>SD</v>
      </c>
      <c r="D85" s="106" t="str">
        <f ca="1">IF(ISBLANK(OFFSET('Data Table'!$A80,2,Settings!$G$5-1)),"",OFFSET('Data Table'!$A80,2,Settings!$G$5-1))</f>
        <v/>
      </c>
      <c r="E85" s="106" t="str">
        <f ca="1">IF(ISBLANK(OFFSET('Data Table'!$A80,2,Settings!$G$5)),"",OFFSET('Data Table'!$A80,2,Settings!$G$5))</f>
        <v/>
      </c>
      <c r="F85" s="143">
        <f ca="1">IF(ISBLANK(OFFSET('Data Table'!$A80,2,Settings!$G$5+1)),"",OFFSET('Data Table'!$A80,2,Settings!$G$5+1))</f>
        <v>9.8000000000000007</v>
      </c>
      <c r="G85">
        <f t="shared" ca="1" si="1"/>
        <v>9.8000000000000007</v>
      </c>
      <c r="H85">
        <f ca="1">IF(G85=-888,"",IF(G85=-999,Settings!$G$4,IF(AND($AA$6="Excluded",G85&gt;=Settings!$G$2),"",G85)))</f>
        <v>9.8000000000000007</v>
      </c>
      <c r="I85">
        <f ca="1">IF(OR(G85=-999,G85=-888,AND($AA$6="Excluded",G85&gt;=Settings!$G$2)),"",G85)</f>
        <v>9.8000000000000007</v>
      </c>
      <c r="O85" s="46"/>
    </row>
    <row r="86" spans="1:15" x14ac:dyDescent="0.2">
      <c r="A86" s="1">
        <v>81</v>
      </c>
      <c r="B86" t="str">
        <f>IF(ISERROR(MATCH(TRIM('Data Table'!D83),Settings!$G$15:$G$20,0)),TRIM('Data Table'!D83),LOOKUP(TRIM('Data Table'!D83),Settings!$G$15:$G$20,Settings!$H$15:$H$20))</f>
        <v>Harnett</v>
      </c>
      <c r="C86" t="str">
        <f>IF('Data Table'!F83="","SS",IF('Data Table'!F83="SF","SD",TRIM('Data Table'!F83)))</f>
        <v>SB</v>
      </c>
      <c r="D86" s="106" t="str">
        <f ca="1">IF(ISBLANK(OFFSET('Data Table'!$A81,2,Settings!$G$5-1)),"",OFFSET('Data Table'!$A81,2,Settings!$G$5-1))</f>
        <v/>
      </c>
      <c r="E86" s="106" t="str">
        <f ca="1">IF(ISBLANK(OFFSET('Data Table'!$A81,2,Settings!$G$5)),"",OFFSET('Data Table'!$A81,2,Settings!$G$5))</f>
        <v/>
      </c>
      <c r="F86" s="143">
        <f ca="1">IF(ISBLANK(OFFSET('Data Table'!$A81,2,Settings!$G$5+1)),"",OFFSET('Data Table'!$A81,2,Settings!$G$5+1))</f>
        <v>10</v>
      </c>
      <c r="G86">
        <f t="shared" ca="1" si="1"/>
        <v>10</v>
      </c>
      <c r="H86">
        <f ca="1">IF(G86=-888,"",IF(G86=-999,Settings!$G$4,IF(AND($AA$6="Excluded",G86&gt;=Settings!$G$2),"",G86)))</f>
        <v>10</v>
      </c>
      <c r="I86">
        <f ca="1">IF(OR(G86=-999,G86=-888,AND($AA$6="Excluded",G86&gt;=Settings!$G$2)),"",G86)</f>
        <v>10</v>
      </c>
      <c r="O86" s="46"/>
    </row>
    <row r="87" spans="1:15" x14ac:dyDescent="0.2">
      <c r="A87" s="1">
        <v>82</v>
      </c>
      <c r="B87" t="str">
        <f>IF(ISERROR(MATCH(TRIM('Data Table'!D84),Settings!$G$15:$G$20,0)),TRIM('Data Table'!D84),LOOKUP(TRIM('Data Table'!D84),Settings!$G$15:$G$20,Settings!$H$15:$H$20))</f>
        <v>Harnett</v>
      </c>
      <c r="C87" t="str">
        <f>IF('Data Table'!F84="","SS",IF('Data Table'!F84="SF","SD",TRIM('Data Table'!F84)))</f>
        <v>SD</v>
      </c>
      <c r="D87" s="106">
        <f ca="1">IF(ISBLANK(OFFSET('Data Table'!$A82,2,Settings!$G$5-1)),"",OFFSET('Data Table'!$A82,2,Settings!$G$5-1))</f>
        <v>10</v>
      </c>
      <c r="E87" s="106" t="str">
        <f ca="1">IF(ISBLANK(OFFSET('Data Table'!$A82,2,Settings!$G$5)),"",OFFSET('Data Table'!$A82,2,Settings!$G$5))</f>
        <v/>
      </c>
      <c r="F87" s="143" t="str">
        <f ca="1">IF(ISBLANK(OFFSET('Data Table'!$A82,2,Settings!$G$5+1)),"",OFFSET('Data Table'!$A82,2,Settings!$G$5+1))</f>
        <v/>
      </c>
      <c r="G87">
        <f t="shared" ca="1" si="1"/>
        <v>10</v>
      </c>
      <c r="H87">
        <f ca="1">IF(G87=-888,"",IF(G87=-999,Settings!$G$4,IF(AND($AA$6="Excluded",G87&gt;=Settings!$G$2),"",G87)))</f>
        <v>10</v>
      </c>
      <c r="I87">
        <f ca="1">IF(OR(G87=-999,G87=-888,AND($AA$6="Excluded",G87&gt;=Settings!$G$2)),"",G87)</f>
        <v>10</v>
      </c>
      <c r="O87" s="46"/>
    </row>
    <row r="88" spans="1:15" x14ac:dyDescent="0.2">
      <c r="A88" s="1">
        <v>83</v>
      </c>
      <c r="B88" t="str">
        <f>IF(ISERROR(MATCH(TRIM('Data Table'!D85),Settings!$G$15:$G$20,0)),TRIM('Data Table'!D85),LOOKUP(TRIM('Data Table'!D85),Settings!$G$15:$G$20,Settings!$H$15:$H$20))</f>
        <v>Vance</v>
      </c>
      <c r="C88" t="str">
        <f>IF('Data Table'!F85="","SS",IF('Data Table'!F85="SF","SD",TRIM('Data Table'!F85)))</f>
        <v>SD</v>
      </c>
      <c r="D88" s="106">
        <f ca="1">IF(ISBLANK(OFFSET('Data Table'!$A83,2,Settings!$G$5-1)),"",OFFSET('Data Table'!$A83,2,Settings!$G$5-1))</f>
        <v>20</v>
      </c>
      <c r="E88" s="106" t="str">
        <f ca="1">IF(ISBLANK(OFFSET('Data Table'!$A83,2,Settings!$G$5)),"",OFFSET('Data Table'!$A83,2,Settings!$G$5))</f>
        <v/>
      </c>
      <c r="F88" s="143" t="str">
        <f ca="1">IF(ISBLANK(OFFSET('Data Table'!$A83,2,Settings!$G$5+1)),"",OFFSET('Data Table'!$A83,2,Settings!$G$5+1))</f>
        <v/>
      </c>
      <c r="G88">
        <f t="shared" ca="1" si="1"/>
        <v>20</v>
      </c>
      <c r="H88">
        <f ca="1">IF(G88=-888,"",IF(G88=-999,Settings!$G$4,IF(AND($AA$6="Excluded",G88&gt;=Settings!$G$2),"",G88)))</f>
        <v>20</v>
      </c>
      <c r="I88">
        <f ca="1">IF(OR(G88=-999,G88=-888,AND($AA$6="Excluded",G88&gt;=Settings!$G$2)),"",G88)</f>
        <v>20</v>
      </c>
      <c r="O88" s="46"/>
    </row>
    <row r="89" spans="1:15" x14ac:dyDescent="0.2">
      <c r="A89" s="1">
        <v>84</v>
      </c>
      <c r="B89" t="str">
        <f>IF(ISERROR(MATCH(TRIM('Data Table'!D86),Settings!$G$15:$G$20,0)),TRIM('Data Table'!D86),LOOKUP(TRIM('Data Table'!D86),Settings!$G$15:$G$20,Settings!$H$15:$H$20))</f>
        <v>Vance</v>
      </c>
      <c r="C89" t="str">
        <f>IF('Data Table'!F86="","SS",IF('Data Table'!F86="SF","SD",TRIM('Data Table'!F86)))</f>
        <v>SS</v>
      </c>
      <c r="D89" s="106">
        <f ca="1">IF(ISBLANK(OFFSET('Data Table'!$A84,2,Settings!$G$5-1)),"",OFFSET('Data Table'!$A84,2,Settings!$G$5-1))</f>
        <v>20</v>
      </c>
      <c r="E89" s="106" t="str">
        <f ca="1">IF(ISBLANK(OFFSET('Data Table'!$A84,2,Settings!$G$5)),"",OFFSET('Data Table'!$A84,2,Settings!$G$5))</f>
        <v/>
      </c>
      <c r="F89" s="143" t="str">
        <f ca="1">IF(ISBLANK(OFFSET('Data Table'!$A84,2,Settings!$G$5+1)),"",OFFSET('Data Table'!$A84,2,Settings!$G$5+1))</f>
        <v/>
      </c>
      <c r="G89">
        <f t="shared" ca="1" si="1"/>
        <v>20</v>
      </c>
      <c r="H89">
        <f ca="1">IF(G89=-888,"",IF(G89=-999,Settings!$G$4,IF(AND($AA$6="Excluded",G89&gt;=Settings!$G$2),"",G89)))</f>
        <v>20</v>
      </c>
      <c r="I89">
        <f ca="1">IF(OR(G89=-999,G89=-888,AND($AA$6="Excluded",G89&gt;=Settings!$G$2)),"",G89)</f>
        <v>20</v>
      </c>
      <c r="O89" s="46"/>
    </row>
    <row r="90" spans="1:15" x14ac:dyDescent="0.2">
      <c r="A90" s="1">
        <v>85</v>
      </c>
      <c r="B90" t="str">
        <f>IF(ISERROR(MATCH(TRIM('Data Table'!D87),Settings!$G$15:$G$20,0)),TRIM('Data Table'!D87),LOOKUP(TRIM('Data Table'!D87),Settings!$G$15:$G$20,Settings!$H$15:$H$20))</f>
        <v>Cabarrus</v>
      </c>
      <c r="C90" t="str">
        <f>IF('Data Table'!F87="","SS",IF('Data Table'!F87="SF","SD",TRIM('Data Table'!F87)))</f>
        <v>SS</v>
      </c>
      <c r="D90" s="106">
        <f ca="1">IF(ISBLANK(OFFSET('Data Table'!$A85,2,Settings!$G$5-1)),"",OFFSET('Data Table'!$A85,2,Settings!$G$5-1))</f>
        <v>64</v>
      </c>
      <c r="E90" s="106" t="str">
        <f ca="1">IF(ISBLANK(OFFSET('Data Table'!$A85,2,Settings!$G$5)),"",OFFSET('Data Table'!$A85,2,Settings!$G$5))</f>
        <v/>
      </c>
      <c r="F90" s="143" t="str">
        <f ca="1">IF(ISBLANK(OFFSET('Data Table'!$A85,2,Settings!$G$5+1)),"",OFFSET('Data Table'!$A85,2,Settings!$G$5+1))</f>
        <v/>
      </c>
      <c r="G90">
        <f t="shared" ca="1" si="1"/>
        <v>64</v>
      </c>
      <c r="H90">
        <f ca="1">IF(G90=-888,"",IF(G90=-999,Settings!$G$4,IF(AND($AA$6="Excluded",G90&gt;=Settings!$G$2),"",G90)))</f>
        <v>64</v>
      </c>
      <c r="I90">
        <f ca="1">IF(OR(G90=-999,G90=-888,AND($AA$6="Excluded",G90&gt;=Settings!$G$2)),"",G90)</f>
        <v>64</v>
      </c>
      <c r="O90" s="46"/>
    </row>
    <row r="91" spans="1:15" x14ac:dyDescent="0.2">
      <c r="A91" s="1">
        <v>86</v>
      </c>
      <c r="B91" t="str">
        <f>IF(ISERROR(MATCH(TRIM('Data Table'!D88),Settings!$G$15:$G$20,0)),TRIM('Data Table'!D88),LOOKUP(TRIM('Data Table'!D88),Settings!$G$15:$G$20,Settings!$H$15:$H$20))</f>
        <v>Scotland</v>
      </c>
      <c r="C91" t="str">
        <f>IF('Data Table'!F88="","SS",IF('Data Table'!F88="SF","SD",TRIM('Data Table'!F88)))</f>
        <v>SS</v>
      </c>
      <c r="D91" s="106" t="str">
        <f ca="1">IF(ISBLANK(OFFSET('Data Table'!$A86,2,Settings!$G$5-1)),"",OFFSET('Data Table'!$A86,2,Settings!$G$5-1))</f>
        <v/>
      </c>
      <c r="E91" s="106" t="str">
        <f ca="1">IF(ISBLANK(OFFSET('Data Table'!$A86,2,Settings!$G$5)),"",OFFSET('Data Table'!$A86,2,Settings!$G$5))</f>
        <v/>
      </c>
      <c r="F91" s="143">
        <f ca="1">IF(ISBLANK(OFFSET('Data Table'!$A86,2,Settings!$G$5+1)),"",OFFSET('Data Table'!$A86,2,Settings!$G$5+1))</f>
        <v>20</v>
      </c>
      <c r="G91">
        <f t="shared" ca="1" si="1"/>
        <v>20</v>
      </c>
      <c r="H91">
        <f ca="1">IF(G91=-888,"",IF(G91=-999,Settings!$G$4,IF(AND($AA$6="Excluded",G91&gt;=Settings!$G$2),"",G91)))</f>
        <v>20</v>
      </c>
      <c r="I91">
        <f ca="1">IF(OR(G91=-999,G91=-888,AND($AA$6="Excluded",G91&gt;=Settings!$G$2)),"",G91)</f>
        <v>20</v>
      </c>
      <c r="O91" s="46"/>
    </row>
    <row r="92" spans="1:15" x14ac:dyDescent="0.2">
      <c r="A92" s="1">
        <v>87</v>
      </c>
      <c r="B92" t="str">
        <f>IF(ISERROR(MATCH(TRIM('Data Table'!D89),Settings!$G$15:$G$20,0)),TRIM('Data Table'!D89),LOOKUP(TRIM('Data Table'!D89),Settings!$G$15:$G$20,Settings!$H$15:$H$20))</f>
        <v>Scotland</v>
      </c>
      <c r="C92" t="str">
        <f>IF('Data Table'!F89="","SS",IF('Data Table'!F89="SF","SD",TRIM('Data Table'!F89)))</f>
        <v>SD</v>
      </c>
      <c r="D92" s="106">
        <f ca="1">IF(ISBLANK(OFFSET('Data Table'!$A87,2,Settings!$G$5-1)),"",OFFSET('Data Table'!$A87,2,Settings!$G$5-1))</f>
        <v>20</v>
      </c>
      <c r="E92" s="106" t="str">
        <f ca="1">IF(ISBLANK(OFFSET('Data Table'!$A87,2,Settings!$G$5)),"",OFFSET('Data Table'!$A87,2,Settings!$G$5))</f>
        <v/>
      </c>
      <c r="F92" s="143" t="str">
        <f ca="1">IF(ISBLANK(OFFSET('Data Table'!$A87,2,Settings!$G$5+1)),"",OFFSET('Data Table'!$A87,2,Settings!$G$5+1))</f>
        <v/>
      </c>
      <c r="G92">
        <f t="shared" ca="1" si="1"/>
        <v>20</v>
      </c>
      <c r="H92">
        <f ca="1">IF(G92=-888,"",IF(G92=-999,Settings!$G$4,IF(AND($AA$6="Excluded",G92&gt;=Settings!$G$2),"",G92)))</f>
        <v>20</v>
      </c>
      <c r="I92">
        <f ca="1">IF(OR(G92=-999,G92=-888,AND($AA$6="Excluded",G92&gt;=Settings!$G$2)),"",G92)</f>
        <v>20</v>
      </c>
      <c r="O92" s="46"/>
    </row>
    <row r="93" spans="1:15" x14ac:dyDescent="0.2">
      <c r="A93" s="1">
        <v>88</v>
      </c>
      <c r="B93" t="str">
        <f>IF(ISERROR(MATCH(TRIM('Data Table'!D90),Settings!$G$15:$G$20,0)),TRIM('Data Table'!D90),LOOKUP(TRIM('Data Table'!D90),Settings!$G$15:$G$20,Settings!$H$15:$H$20))</f>
        <v>Carteret</v>
      </c>
      <c r="C93" t="str">
        <f>IF('Data Table'!F90="","SS",IF('Data Table'!F90="SF","SD",TRIM('Data Table'!F90)))</f>
        <v>SD</v>
      </c>
      <c r="D93" s="106" t="str">
        <f ca="1">IF(ISBLANK(OFFSET('Data Table'!$A88,2,Settings!$G$5-1)),"",OFFSET('Data Table'!$A88,2,Settings!$G$5-1))</f>
        <v/>
      </c>
      <c r="E93" s="106">
        <f ca="1">IF(ISBLANK(OFFSET('Data Table'!$A88,2,Settings!$G$5)),"",OFFSET('Data Table'!$A88,2,Settings!$G$5))</f>
        <v>86.399999999999991</v>
      </c>
      <c r="F93" s="143" t="str">
        <f ca="1">IF(ISBLANK(OFFSET('Data Table'!$A88,2,Settings!$G$5+1)),"",OFFSET('Data Table'!$A88,2,Settings!$G$5+1))</f>
        <v/>
      </c>
      <c r="G93">
        <f t="shared" ca="1" si="1"/>
        <v>86.399999999999991</v>
      </c>
      <c r="H93">
        <f ca="1">IF(G93=-888,"",IF(G93=-999,Settings!$G$4,IF(AND($AA$6="Excluded",G93&gt;=Settings!$G$2),"",G93)))</f>
        <v>86.399999999999991</v>
      </c>
      <c r="I93">
        <f ca="1">IF(OR(G93=-999,G93=-888,AND($AA$6="Excluded",G93&gt;=Settings!$G$2)),"",G93)</f>
        <v>86.399999999999991</v>
      </c>
      <c r="O93" s="46"/>
    </row>
    <row r="94" spans="1:15" x14ac:dyDescent="0.2">
      <c r="A94" s="1">
        <v>89</v>
      </c>
      <c r="B94" t="str">
        <f>IF(ISERROR(MATCH(TRIM('Data Table'!D91),Settings!$G$15:$G$20,0)),TRIM('Data Table'!D91),LOOKUP(TRIM('Data Table'!D91),Settings!$G$15:$G$20,Settings!$H$15:$H$20))</f>
        <v>Carteret</v>
      </c>
      <c r="C94" t="str">
        <f>IF('Data Table'!F91="","SS",IF('Data Table'!F91="SF","SD",TRIM('Data Table'!F91)))</f>
        <v>SD</v>
      </c>
      <c r="D94" s="106" t="str">
        <f ca="1">IF(ISBLANK(OFFSET('Data Table'!$A89,2,Settings!$G$5-1)),"",OFFSET('Data Table'!$A89,2,Settings!$G$5-1))</f>
        <v/>
      </c>
      <c r="E94" s="106">
        <f ca="1">IF(ISBLANK(OFFSET('Data Table'!$A89,2,Settings!$G$5)),"",OFFSET('Data Table'!$A89,2,Settings!$G$5))</f>
        <v>30.24</v>
      </c>
      <c r="F94" s="143" t="str">
        <f ca="1">IF(ISBLANK(OFFSET('Data Table'!$A89,2,Settings!$G$5+1)),"",OFFSET('Data Table'!$A89,2,Settings!$G$5+1))</f>
        <v/>
      </c>
      <c r="G94">
        <f t="shared" ca="1" si="1"/>
        <v>30.24</v>
      </c>
      <c r="H94">
        <f ca="1">IF(G94=-888,"",IF(G94=-999,Settings!$G$4,IF(AND($AA$6="Excluded",G94&gt;=Settings!$G$2),"",G94)))</f>
        <v>30.24</v>
      </c>
      <c r="I94">
        <f ca="1">IF(OR(G94=-999,G94=-888,AND($AA$6="Excluded",G94&gt;=Settings!$G$2)),"",G94)</f>
        <v>30.24</v>
      </c>
      <c r="O94" s="46"/>
    </row>
    <row r="95" spans="1:15" x14ac:dyDescent="0.2">
      <c r="A95" s="1">
        <v>90</v>
      </c>
      <c r="B95" t="str">
        <f>IF(ISERROR(MATCH(TRIM('Data Table'!D92),Settings!$G$15:$G$20,0)),TRIM('Data Table'!D92),LOOKUP(TRIM('Data Table'!D92),Settings!$G$15:$G$20,Settings!$H$15:$H$20))</f>
        <v>Carteret</v>
      </c>
      <c r="C95" t="str">
        <f>IF('Data Table'!F92="","SS",IF('Data Table'!F92="SF","SD",TRIM('Data Table'!F92)))</f>
        <v>SD</v>
      </c>
      <c r="D95" s="106" t="str">
        <f ca="1">IF(ISBLANK(OFFSET('Data Table'!$A90,2,Settings!$G$5-1)),"",OFFSET('Data Table'!$A90,2,Settings!$G$5-1))</f>
        <v/>
      </c>
      <c r="E95" s="106">
        <f ca="1">IF(ISBLANK(OFFSET('Data Table'!$A90,2,Settings!$G$5)),"",OFFSET('Data Table'!$A90,2,Settings!$G$5))</f>
        <v>158.4</v>
      </c>
      <c r="F95" s="143" t="str">
        <f ca="1">IF(ISBLANK(OFFSET('Data Table'!$A90,2,Settings!$G$5+1)),"",OFFSET('Data Table'!$A90,2,Settings!$G$5+1))</f>
        <v/>
      </c>
      <c r="G95">
        <f t="shared" ca="1" si="1"/>
        <v>158.4</v>
      </c>
      <c r="H95">
        <f ca="1">IF(G95=-888,"",IF(G95=-999,Settings!$G$4,IF(AND($AA$6="Excluded",G95&gt;=Settings!$G$2),"",G95)))</f>
        <v>158.4</v>
      </c>
      <c r="I95">
        <f ca="1">IF(OR(G95=-999,G95=-888,AND($AA$6="Excluded",G95&gt;=Settings!$G$2)),"",G95)</f>
        <v>158.4</v>
      </c>
      <c r="O95" s="46"/>
    </row>
    <row r="96" spans="1:15" x14ac:dyDescent="0.2">
      <c r="A96" s="1">
        <v>91</v>
      </c>
      <c r="B96" t="str">
        <f>IF(ISERROR(MATCH(TRIM('Data Table'!D93),Settings!$G$15:$G$20,0)),TRIM('Data Table'!D93),LOOKUP(TRIM('Data Table'!D93),Settings!$G$15:$G$20,Settings!$H$15:$H$20))</f>
        <v>Carteret</v>
      </c>
      <c r="C96" t="str">
        <f>IF('Data Table'!F93="","SS",IF('Data Table'!F93="SF","SD",TRIM('Data Table'!F93)))</f>
        <v>SD</v>
      </c>
      <c r="D96" s="106" t="str">
        <f ca="1">IF(ISBLANK(OFFSET('Data Table'!$A91,2,Settings!$G$5-1)),"",OFFSET('Data Table'!$A91,2,Settings!$G$5-1))</f>
        <v/>
      </c>
      <c r="E96" s="106">
        <f ca="1">IF(ISBLANK(OFFSET('Data Table'!$A91,2,Settings!$G$5)),"",OFFSET('Data Table'!$A91,2,Settings!$G$5))</f>
        <v>82.08</v>
      </c>
      <c r="F96" s="143" t="str">
        <f ca="1">IF(ISBLANK(OFFSET('Data Table'!$A91,2,Settings!$G$5+1)),"",OFFSET('Data Table'!$A91,2,Settings!$G$5+1))</f>
        <v/>
      </c>
      <c r="G96">
        <f t="shared" ca="1" si="1"/>
        <v>82.08</v>
      </c>
      <c r="H96">
        <f ca="1">IF(G96=-888,"",IF(G96=-999,Settings!$G$4,IF(AND($AA$6="Excluded",G96&gt;=Settings!$G$2),"",G96)))</f>
        <v>82.08</v>
      </c>
      <c r="I96">
        <f ca="1">IF(OR(G96=-999,G96=-888,AND($AA$6="Excluded",G96&gt;=Settings!$G$2)),"",G96)</f>
        <v>82.08</v>
      </c>
      <c r="O96" s="46"/>
    </row>
    <row r="97" spans="1:15" x14ac:dyDescent="0.2">
      <c r="A97" s="1">
        <v>92</v>
      </c>
      <c r="B97" t="str">
        <f>IF(ISERROR(MATCH(TRIM('Data Table'!D94),Settings!$G$15:$G$20,0)),TRIM('Data Table'!D94),LOOKUP(TRIM('Data Table'!D94),Settings!$G$15:$G$20,Settings!$H$15:$H$20))</f>
        <v>Carteret</v>
      </c>
      <c r="C97" t="str">
        <f>IF('Data Table'!F94="","SS",IF('Data Table'!F94="SF","SD",TRIM('Data Table'!F94)))</f>
        <v>SD</v>
      </c>
      <c r="D97" s="106" t="str">
        <f ca="1">IF(ISBLANK(OFFSET('Data Table'!$A92,2,Settings!$G$5-1)),"",OFFSET('Data Table'!$A92,2,Settings!$G$5-1))</f>
        <v/>
      </c>
      <c r="E97" s="106">
        <f ca="1">IF(ISBLANK(OFFSET('Data Table'!$A92,2,Settings!$G$5)),"",OFFSET('Data Table'!$A92,2,Settings!$G$5))</f>
        <v>30.24</v>
      </c>
      <c r="F97" s="143" t="str">
        <f ca="1">IF(ISBLANK(OFFSET('Data Table'!$A92,2,Settings!$G$5+1)),"",OFFSET('Data Table'!$A92,2,Settings!$G$5+1))</f>
        <v/>
      </c>
      <c r="G97">
        <f t="shared" ca="1" si="1"/>
        <v>30.24</v>
      </c>
      <c r="H97">
        <f ca="1">IF(G97=-888,"",IF(G97=-999,Settings!$G$4,IF(AND($AA$6="Excluded",G97&gt;=Settings!$G$2),"",G97)))</f>
        <v>30.24</v>
      </c>
      <c r="I97">
        <f ca="1">IF(OR(G97=-999,G97=-888,AND($AA$6="Excluded",G97&gt;=Settings!$G$2)),"",G97)</f>
        <v>30.24</v>
      </c>
      <c r="O97" s="46"/>
    </row>
    <row r="98" spans="1:15" x14ac:dyDescent="0.2">
      <c r="A98" s="1">
        <v>93</v>
      </c>
      <c r="B98" t="str">
        <f>IF(ISERROR(MATCH(TRIM('Data Table'!D95),Settings!$G$15:$G$20,0)),TRIM('Data Table'!D95),LOOKUP(TRIM('Data Table'!D95),Settings!$G$15:$G$20,Settings!$H$15:$H$20))</f>
        <v>Carteret</v>
      </c>
      <c r="C98" t="str">
        <f>IF('Data Table'!F95="","SS",IF('Data Table'!F95="SF","SD",TRIM('Data Table'!F95)))</f>
        <v>SD</v>
      </c>
      <c r="D98" s="106" t="str">
        <f ca="1">IF(ISBLANK(OFFSET('Data Table'!$A93,2,Settings!$G$5-1)),"",OFFSET('Data Table'!$A93,2,Settings!$G$5-1))</f>
        <v/>
      </c>
      <c r="E98" s="106">
        <f ca="1">IF(ISBLANK(OFFSET('Data Table'!$A93,2,Settings!$G$5)),"",OFFSET('Data Table'!$A93,2,Settings!$G$5))</f>
        <v>43.199999999999996</v>
      </c>
      <c r="F98" s="143" t="str">
        <f ca="1">IF(ISBLANK(OFFSET('Data Table'!$A93,2,Settings!$G$5+1)),"",OFFSET('Data Table'!$A93,2,Settings!$G$5+1))</f>
        <v/>
      </c>
      <c r="G98">
        <f t="shared" ca="1" si="1"/>
        <v>43.199999999999996</v>
      </c>
      <c r="H98">
        <f ca="1">IF(G98=-888,"",IF(G98=-999,Settings!$G$4,IF(AND($AA$6="Excluded",G98&gt;=Settings!$G$2),"",G98)))</f>
        <v>43.199999999999996</v>
      </c>
      <c r="I98">
        <f ca="1">IF(OR(G98=-999,G98=-888,AND($AA$6="Excluded",G98&gt;=Settings!$G$2)),"",G98)</f>
        <v>43.199999999999996</v>
      </c>
      <c r="O98" s="46"/>
    </row>
    <row r="99" spans="1:15" x14ac:dyDescent="0.2">
      <c r="A99" s="1">
        <v>94</v>
      </c>
      <c r="B99" t="str">
        <f>IF(ISERROR(MATCH(TRIM('Data Table'!D96),Settings!$G$15:$G$20,0)),TRIM('Data Table'!D96),LOOKUP(TRIM('Data Table'!D96),Settings!$G$15:$G$20,Settings!$H$15:$H$20))</f>
        <v>Carteret</v>
      </c>
      <c r="C99" t="str">
        <f>IF('Data Table'!F96="","SS",IF('Data Table'!F96="SF","SD",TRIM('Data Table'!F96)))</f>
        <v>SD</v>
      </c>
      <c r="D99" s="106" t="str">
        <f ca="1">IF(ISBLANK(OFFSET('Data Table'!$A94,2,Settings!$G$5-1)),"",OFFSET('Data Table'!$A94,2,Settings!$G$5-1))</f>
        <v/>
      </c>
      <c r="E99" s="106">
        <f ca="1">IF(ISBLANK(OFFSET('Data Table'!$A94,2,Settings!$G$5)),"",OFFSET('Data Table'!$A94,2,Settings!$G$5))</f>
        <v>60.48</v>
      </c>
      <c r="F99" s="143" t="str">
        <f ca="1">IF(ISBLANK(OFFSET('Data Table'!$A94,2,Settings!$G$5+1)),"",OFFSET('Data Table'!$A94,2,Settings!$G$5+1))</f>
        <v/>
      </c>
      <c r="G99">
        <f t="shared" ca="1" si="1"/>
        <v>60.48</v>
      </c>
      <c r="H99">
        <f ca="1">IF(G99=-888,"",IF(G99=-999,Settings!$G$4,IF(AND($AA$6="Excluded",G99&gt;=Settings!$G$2),"",G99)))</f>
        <v>60.48</v>
      </c>
      <c r="I99">
        <f ca="1">IF(OR(G99=-999,G99=-888,AND($AA$6="Excluded",G99&gt;=Settings!$G$2)),"",G99)</f>
        <v>60.48</v>
      </c>
      <c r="O99" s="46"/>
    </row>
    <row r="100" spans="1:15" x14ac:dyDescent="0.2">
      <c r="A100" s="1">
        <v>95</v>
      </c>
      <c r="B100" t="str">
        <f>IF(ISERROR(MATCH(TRIM('Data Table'!D97),Settings!$G$15:$G$20,0)),TRIM('Data Table'!D97),LOOKUP(TRIM('Data Table'!D97),Settings!$G$15:$G$20,Settings!$H$15:$H$20))</f>
        <v>Carteret</v>
      </c>
      <c r="C100" t="str">
        <f>IF('Data Table'!F97="","SS",IF('Data Table'!F97="SF","SD",TRIM('Data Table'!F97)))</f>
        <v>SD</v>
      </c>
      <c r="D100" s="106" t="str">
        <f ca="1">IF(ISBLANK(OFFSET('Data Table'!$A95,2,Settings!$G$5-1)),"",OFFSET('Data Table'!$A95,2,Settings!$G$5-1))</f>
        <v/>
      </c>
      <c r="E100" s="106">
        <f ca="1">IF(ISBLANK(OFFSET('Data Table'!$A95,2,Settings!$G$5)),"",OFFSET('Data Table'!$A95,2,Settings!$G$5))</f>
        <v>69.12</v>
      </c>
      <c r="F100" s="143" t="str">
        <f ca="1">IF(ISBLANK(OFFSET('Data Table'!$A95,2,Settings!$G$5+1)),"",OFFSET('Data Table'!$A95,2,Settings!$G$5+1))</f>
        <v/>
      </c>
      <c r="G100">
        <f t="shared" ca="1" si="1"/>
        <v>69.12</v>
      </c>
      <c r="H100">
        <f ca="1">IF(G100=-888,"",IF(G100=-999,Settings!$G$4,IF(AND($AA$6="Excluded",G100&gt;=Settings!$G$2),"",G100)))</f>
        <v>69.12</v>
      </c>
      <c r="I100">
        <f ca="1">IF(OR(G100=-999,G100=-888,AND($AA$6="Excluded",G100&gt;=Settings!$G$2)),"",G100)</f>
        <v>69.12</v>
      </c>
      <c r="O100" s="46"/>
    </row>
    <row r="101" spans="1:15" x14ac:dyDescent="0.2">
      <c r="A101" s="1">
        <v>96</v>
      </c>
      <c r="B101" t="str">
        <f>IF(ISERROR(MATCH(TRIM('Data Table'!D98),Settings!$G$15:$G$20,0)),TRIM('Data Table'!D98),LOOKUP(TRIM('Data Table'!D98),Settings!$G$15:$G$20,Settings!$H$15:$H$20))</f>
        <v>New Hanover</v>
      </c>
      <c r="C101" t="str">
        <f>IF('Data Table'!F98="","SS",IF('Data Table'!F98="SF","SD",TRIM('Data Table'!F98)))</f>
        <v>SS</v>
      </c>
      <c r="D101" s="106" t="str">
        <f ca="1">IF(ISBLANK(OFFSET('Data Table'!$A96,2,Settings!$G$5-1)),"",OFFSET('Data Table'!$A96,2,Settings!$G$5-1))</f>
        <v/>
      </c>
      <c r="E101" s="106">
        <f ca="1">IF(ISBLANK(OFFSET('Data Table'!$A96,2,Settings!$G$5)),"",OFFSET('Data Table'!$A96,2,Settings!$G$5))</f>
        <v>67.679999999999993</v>
      </c>
      <c r="F101" s="143" t="str">
        <f ca="1">IF(ISBLANK(OFFSET('Data Table'!$A96,2,Settings!$G$5+1)),"",OFFSET('Data Table'!$A96,2,Settings!$G$5+1))</f>
        <v/>
      </c>
      <c r="G101">
        <f t="shared" ca="1" si="1"/>
        <v>67.679999999999993</v>
      </c>
      <c r="H101">
        <f ca="1">IF(G101=-888,"",IF(G101=-999,Settings!$G$4,IF(AND($AA$6="Excluded",G101&gt;=Settings!$G$2),"",G101)))</f>
        <v>67.679999999999993</v>
      </c>
      <c r="I101">
        <f ca="1">IF(OR(G101=-999,G101=-888,AND($AA$6="Excluded",G101&gt;=Settings!$G$2)),"",G101)</f>
        <v>67.679999999999993</v>
      </c>
      <c r="O101" s="46"/>
    </row>
    <row r="102" spans="1:15" x14ac:dyDescent="0.2">
      <c r="A102" s="1">
        <v>97</v>
      </c>
      <c r="B102" t="str">
        <f>IF(ISERROR(MATCH(TRIM('Data Table'!D99),Settings!$G$15:$G$20,0)),TRIM('Data Table'!D99),LOOKUP(TRIM('Data Table'!D99),Settings!$G$15:$G$20,Settings!$H$15:$H$20))</f>
        <v>New Hanover</v>
      </c>
      <c r="C102" t="str">
        <f>IF('Data Table'!F99="","SS",IF('Data Table'!F99="SF","SD",TRIM('Data Table'!F99)))</f>
        <v>SB</v>
      </c>
      <c r="D102" s="106">
        <f ca="1">IF(ISBLANK(OFFSET('Data Table'!$A97,2,Settings!$G$5-1)),"",OFFSET('Data Table'!$A97,2,Settings!$G$5-1))</f>
        <v>1.9</v>
      </c>
      <c r="E102" s="106" t="str">
        <f ca="1">IF(ISBLANK(OFFSET('Data Table'!$A97,2,Settings!$G$5)),"",OFFSET('Data Table'!$A97,2,Settings!$G$5))</f>
        <v/>
      </c>
      <c r="F102" s="143" t="str">
        <f ca="1">IF(ISBLANK(OFFSET('Data Table'!$A97,2,Settings!$G$5+1)),"",OFFSET('Data Table'!$A97,2,Settings!$G$5+1))</f>
        <v/>
      </c>
      <c r="G102">
        <f t="shared" ca="1" si="1"/>
        <v>1.9</v>
      </c>
      <c r="H102">
        <f ca="1">IF(G102=-888,"",IF(G102=-999,Settings!$G$4,IF(AND($AA$6="Excluded",G102&gt;=Settings!$G$2),"",G102)))</f>
        <v>1.9</v>
      </c>
      <c r="I102">
        <f ca="1">IF(OR(G102=-999,G102=-888,AND($AA$6="Excluded",G102&gt;=Settings!$G$2)),"",G102)</f>
        <v>1.9</v>
      </c>
      <c r="O102" s="46"/>
    </row>
    <row r="103" spans="1:15" x14ac:dyDescent="0.2">
      <c r="A103" s="1">
        <v>98</v>
      </c>
      <c r="B103" t="str">
        <f>IF(ISERROR(MATCH(TRIM('Data Table'!D100),Settings!$G$15:$G$20,0)),TRIM('Data Table'!D100),LOOKUP(TRIM('Data Table'!D100),Settings!$G$15:$G$20,Settings!$H$15:$H$20))</f>
        <v>Craven</v>
      </c>
      <c r="C103" t="str">
        <f>IF('Data Table'!F100="","SS",IF('Data Table'!F100="SF","SD",TRIM('Data Table'!F100)))</f>
        <v>SD</v>
      </c>
      <c r="D103" s="106">
        <f ca="1">IF(ISBLANK(OFFSET('Data Table'!$A98,2,Settings!$G$5-1)),"",OFFSET('Data Table'!$A98,2,Settings!$G$5-1))</f>
        <v>8.6999999999999993</v>
      </c>
      <c r="E103" s="106" t="str">
        <f ca="1">IF(ISBLANK(OFFSET('Data Table'!$A98,2,Settings!$G$5)),"",OFFSET('Data Table'!$A98,2,Settings!$G$5))</f>
        <v/>
      </c>
      <c r="F103" s="143" t="str">
        <f ca="1">IF(ISBLANK(OFFSET('Data Table'!$A98,2,Settings!$G$5+1)),"",OFFSET('Data Table'!$A98,2,Settings!$G$5+1))</f>
        <v/>
      </c>
      <c r="G103">
        <f t="shared" ca="1" si="1"/>
        <v>8.6999999999999993</v>
      </c>
      <c r="H103">
        <f ca="1">IF(G103=-888,"",IF(G103=-999,Settings!$G$4,IF(AND($AA$6="Excluded",G103&gt;=Settings!$G$2),"",G103)))</f>
        <v>8.6999999999999993</v>
      </c>
      <c r="I103">
        <f ca="1">IF(OR(G103=-999,G103=-888,AND($AA$6="Excluded",G103&gt;=Settings!$G$2)),"",G103)</f>
        <v>8.6999999999999993</v>
      </c>
      <c r="O103" s="46"/>
    </row>
    <row r="104" spans="1:15" x14ac:dyDescent="0.2">
      <c r="A104" s="1">
        <v>99</v>
      </c>
      <c r="B104" t="str">
        <f>IF(ISERROR(MATCH(TRIM('Data Table'!D101),Settings!$G$15:$G$20,0)),TRIM('Data Table'!D101),LOOKUP(TRIM('Data Table'!D101),Settings!$G$15:$G$20,Settings!$H$15:$H$20))</f>
        <v>Craven</v>
      </c>
      <c r="C104" t="str">
        <f>IF('Data Table'!F101="","SS",IF('Data Table'!F101="SF","SD",TRIM('Data Table'!F101)))</f>
        <v>SS</v>
      </c>
      <c r="D104" s="106" t="str">
        <f ca="1">IF(ISBLANK(OFFSET('Data Table'!$A99,2,Settings!$G$5-1)),"",OFFSET('Data Table'!$A99,2,Settings!$G$5-1))</f>
        <v/>
      </c>
      <c r="E104" s="106" t="str">
        <f ca="1">IF(ISBLANK(OFFSET('Data Table'!$A99,2,Settings!$G$5)),"",OFFSET('Data Table'!$A99,2,Settings!$G$5))</f>
        <v/>
      </c>
      <c r="F104" s="143">
        <f ca="1">IF(ISBLANK(OFFSET('Data Table'!$A99,2,Settings!$G$5+1)),"",OFFSET('Data Table'!$A99,2,Settings!$G$5+1))</f>
        <v>20</v>
      </c>
      <c r="G104">
        <f t="shared" ca="1" si="1"/>
        <v>20</v>
      </c>
      <c r="H104">
        <f ca="1">IF(G104=-888,"",IF(G104=-999,Settings!$G$4,IF(AND($AA$6="Excluded",G104&gt;=Settings!$G$2),"",G104)))</f>
        <v>20</v>
      </c>
      <c r="I104">
        <f ca="1">IF(OR(G104=-999,G104=-888,AND($AA$6="Excluded",G104&gt;=Settings!$G$2)),"",G104)</f>
        <v>20</v>
      </c>
      <c r="O104" s="46"/>
    </row>
    <row r="105" spans="1:15" x14ac:dyDescent="0.2">
      <c r="A105" s="1">
        <v>100</v>
      </c>
      <c r="B105" t="str">
        <f>IF(ISERROR(MATCH(TRIM('Data Table'!D102),Settings!$G$15:$G$20,0)),TRIM('Data Table'!D102),LOOKUP(TRIM('Data Table'!D102),Settings!$G$15:$G$20,Settings!$H$15:$H$20))</f>
        <v>Pitt</v>
      </c>
      <c r="C105" t="str">
        <f>IF('Data Table'!F102="","SS",IF('Data Table'!F102="SF","SD",TRIM('Data Table'!F102)))</f>
        <v>SB</v>
      </c>
      <c r="D105" s="106" t="str">
        <f ca="1">IF(ISBLANK(OFFSET('Data Table'!$A100,2,Settings!$G$5-1)),"",OFFSET('Data Table'!$A100,2,Settings!$G$5-1))</f>
        <v/>
      </c>
      <c r="E105" s="106">
        <f ca="1">IF(ISBLANK(OFFSET('Data Table'!$A100,2,Settings!$G$5)),"",OFFSET('Data Table'!$A100,2,Settings!$G$5))</f>
        <v>7.7759999999999998</v>
      </c>
      <c r="F105" s="143" t="str">
        <f ca="1">IF(ISBLANK(OFFSET('Data Table'!$A100,2,Settings!$G$5+1)),"",OFFSET('Data Table'!$A100,2,Settings!$G$5+1))</f>
        <v/>
      </c>
      <c r="G105">
        <f t="shared" ca="1" si="1"/>
        <v>7.7759999999999998</v>
      </c>
      <c r="H105">
        <f ca="1">IF(G105=-888,"",IF(G105=-999,Settings!$G$4,IF(AND($AA$6="Excluded",G105&gt;=Settings!$G$2),"",G105)))</f>
        <v>7.7759999999999998</v>
      </c>
      <c r="I105">
        <f ca="1">IF(OR(G105=-999,G105=-888,AND($AA$6="Excluded",G105&gt;=Settings!$G$2)),"",G105)</f>
        <v>7.7759999999999998</v>
      </c>
      <c r="O105" s="46"/>
    </row>
    <row r="106" spans="1:15" x14ac:dyDescent="0.2">
      <c r="A106" s="1">
        <v>101</v>
      </c>
      <c r="B106" t="str">
        <f>IF(ISERROR(MATCH(TRIM('Data Table'!D103),Settings!$G$15:$G$20,0)),TRIM('Data Table'!D103),LOOKUP(TRIM('Data Table'!D103),Settings!$G$15:$G$20,Settings!$H$15:$H$20))</f>
        <v>Edgecombe</v>
      </c>
      <c r="C106" t="str">
        <f>IF('Data Table'!F103="","SS",IF('Data Table'!F103="SF","SD",TRIM('Data Table'!F103)))</f>
        <v>SD</v>
      </c>
      <c r="D106" s="106">
        <f ca="1">IF(ISBLANK(OFFSET('Data Table'!$A101,2,Settings!$G$5-1)),"",OFFSET('Data Table'!$A101,2,Settings!$G$5-1))</f>
        <v>26</v>
      </c>
      <c r="E106" s="106" t="str">
        <f ca="1">IF(ISBLANK(OFFSET('Data Table'!$A101,2,Settings!$G$5)),"",OFFSET('Data Table'!$A101,2,Settings!$G$5))</f>
        <v/>
      </c>
      <c r="F106" s="143" t="str">
        <f ca="1">IF(ISBLANK(OFFSET('Data Table'!$A101,2,Settings!$G$5+1)),"",OFFSET('Data Table'!$A101,2,Settings!$G$5+1))</f>
        <v/>
      </c>
      <c r="G106">
        <f t="shared" ca="1" si="1"/>
        <v>26</v>
      </c>
      <c r="H106">
        <f ca="1">IF(G106=-888,"",IF(G106=-999,Settings!$G$4,IF(AND($AA$6="Excluded",G106&gt;=Settings!$G$2),"",G106)))</f>
        <v>26</v>
      </c>
      <c r="I106">
        <f ca="1">IF(OR(G106=-999,G106=-888,AND($AA$6="Excluded",G106&gt;=Settings!$G$2)),"",G106)</f>
        <v>26</v>
      </c>
      <c r="O106" s="46"/>
    </row>
    <row r="107" spans="1:15" x14ac:dyDescent="0.2">
      <c r="A107" s="1">
        <v>102</v>
      </c>
      <c r="B107" t="str">
        <f>IF(ISERROR(MATCH(TRIM('Data Table'!D104),Settings!$G$15:$G$20,0)),TRIM('Data Table'!D104),LOOKUP(TRIM('Data Table'!D104),Settings!$G$15:$G$20,Settings!$H$15:$H$20))</f>
        <v>Iredell</v>
      </c>
      <c r="C107" t="str">
        <f>IF('Data Table'!F104="","SS",IF('Data Table'!F104="SF","SD",TRIM('Data Table'!F104)))</f>
        <v>SB</v>
      </c>
      <c r="D107" s="106">
        <f ca="1">IF(ISBLANK(OFFSET('Data Table'!$A102,2,Settings!$G$5-1)),"",OFFSET('Data Table'!$A102,2,Settings!$G$5-1))</f>
        <v>22</v>
      </c>
      <c r="E107" s="106" t="str">
        <f ca="1">IF(ISBLANK(OFFSET('Data Table'!$A102,2,Settings!$G$5)),"",OFFSET('Data Table'!$A102,2,Settings!$G$5))</f>
        <v/>
      </c>
      <c r="F107" s="143" t="str">
        <f ca="1">IF(ISBLANK(OFFSET('Data Table'!$A102,2,Settings!$G$5+1)),"",OFFSET('Data Table'!$A102,2,Settings!$G$5+1))</f>
        <v/>
      </c>
      <c r="G107">
        <f t="shared" ca="1" si="1"/>
        <v>22</v>
      </c>
      <c r="H107">
        <f ca="1">IF(G107=-888,"",IF(G107=-999,Settings!$G$4,IF(AND($AA$6="Excluded",G107&gt;=Settings!$G$2),"",G107)))</f>
        <v>22</v>
      </c>
      <c r="I107">
        <f ca="1">IF(OR(G107=-999,G107=-888,AND($AA$6="Excluded",G107&gt;=Settings!$G$2)),"",G107)</f>
        <v>22</v>
      </c>
      <c r="O107" s="46"/>
    </row>
    <row r="108" spans="1:15" x14ac:dyDescent="0.2">
      <c r="A108" s="1">
        <v>103</v>
      </c>
      <c r="B108" t="str">
        <f>IF(ISERROR(MATCH(TRIM('Data Table'!D105),Settings!$G$15:$G$20,0)),TRIM('Data Table'!D105),LOOKUP(TRIM('Data Table'!D105),Settings!$G$15:$G$20,Settings!$H$15:$H$20))</f>
        <v>Mecklenburg</v>
      </c>
      <c r="C108" t="str">
        <f>IF('Data Table'!F105="","SS",IF('Data Table'!F105="SF","SD",TRIM('Data Table'!F105)))</f>
        <v>SS</v>
      </c>
      <c r="D108" s="106">
        <f ca="1">IF(ISBLANK(OFFSET('Data Table'!$A103,2,Settings!$G$5-1)),"",OFFSET('Data Table'!$A103,2,Settings!$G$5-1))</f>
        <v>9.1999999999999993</v>
      </c>
      <c r="E108" s="106" t="str">
        <f ca="1">IF(ISBLANK(OFFSET('Data Table'!$A103,2,Settings!$G$5)),"",OFFSET('Data Table'!$A103,2,Settings!$G$5))</f>
        <v/>
      </c>
      <c r="F108" s="143" t="str">
        <f ca="1">IF(ISBLANK(OFFSET('Data Table'!$A103,2,Settings!$G$5+1)),"",OFFSET('Data Table'!$A103,2,Settings!$G$5+1))</f>
        <v/>
      </c>
      <c r="G108">
        <f t="shared" ca="1" si="1"/>
        <v>9.1999999999999993</v>
      </c>
      <c r="H108">
        <f ca="1">IF(G108=-888,"",IF(G108=-999,Settings!$G$4,IF(AND($AA$6="Excluded",G108&gt;=Settings!$G$2),"",G108)))</f>
        <v>9.1999999999999993</v>
      </c>
      <c r="I108">
        <f ca="1">IF(OR(G108=-999,G108=-888,AND($AA$6="Excluded",G108&gt;=Settings!$G$2)),"",G108)</f>
        <v>9.1999999999999993</v>
      </c>
      <c r="O108" s="46"/>
    </row>
    <row r="109" spans="1:15" x14ac:dyDescent="0.2">
      <c r="A109" s="1">
        <v>104</v>
      </c>
      <c r="B109" t="str">
        <f>IF(ISERROR(MATCH(TRIM('Data Table'!D106),Settings!$G$15:$G$20,0)),TRIM('Data Table'!D106),LOOKUP(TRIM('Data Table'!D106),Settings!$G$15:$G$20,Settings!$H$15:$H$20))</f>
        <v>Mecklenburg</v>
      </c>
      <c r="C109" t="str">
        <f>IF('Data Table'!F106="","SS",IF('Data Table'!F106="SF","SD",TRIM('Data Table'!F106)))</f>
        <v>SD</v>
      </c>
      <c r="D109" s="106">
        <f ca="1">IF(ISBLANK(OFFSET('Data Table'!$A104,2,Settings!$G$5-1)),"",OFFSET('Data Table'!$A104,2,Settings!$G$5-1))</f>
        <v>23</v>
      </c>
      <c r="E109" s="106" t="str">
        <f ca="1">IF(ISBLANK(OFFSET('Data Table'!$A104,2,Settings!$G$5)),"",OFFSET('Data Table'!$A104,2,Settings!$G$5))</f>
        <v/>
      </c>
      <c r="F109" s="143" t="str">
        <f ca="1">IF(ISBLANK(OFFSET('Data Table'!$A104,2,Settings!$G$5+1)),"",OFFSET('Data Table'!$A104,2,Settings!$G$5+1))</f>
        <v/>
      </c>
      <c r="G109">
        <f t="shared" ca="1" si="1"/>
        <v>23</v>
      </c>
      <c r="H109">
        <f ca="1">IF(G109=-888,"",IF(G109=-999,Settings!$G$4,IF(AND($AA$6="Excluded",G109&gt;=Settings!$G$2),"",G109)))</f>
        <v>23</v>
      </c>
      <c r="I109">
        <f ca="1">IF(OR(G109=-999,G109=-888,AND($AA$6="Excluded",G109&gt;=Settings!$G$2)),"",G109)</f>
        <v>23</v>
      </c>
      <c r="O109" s="46"/>
    </row>
    <row r="110" spans="1:15" x14ac:dyDescent="0.2">
      <c r="A110" s="1">
        <v>105</v>
      </c>
      <c r="B110" t="str">
        <f>IF(ISERROR(MATCH(TRIM('Data Table'!D107),Settings!$G$15:$G$20,0)),TRIM('Data Table'!D107),LOOKUP(TRIM('Data Table'!D107),Settings!$G$15:$G$20,Settings!$H$15:$H$20))</f>
        <v>Mecklenburg</v>
      </c>
      <c r="C110" t="str">
        <f>IF('Data Table'!F107="","SS",IF('Data Table'!F107="SF","SD",TRIM('Data Table'!F107)))</f>
        <v>SD</v>
      </c>
      <c r="D110" s="106" t="str">
        <f ca="1">IF(ISBLANK(OFFSET('Data Table'!$A105,2,Settings!$G$5-1)),"",OFFSET('Data Table'!$A105,2,Settings!$G$5-1))</f>
        <v/>
      </c>
      <c r="E110" s="106" t="str">
        <f ca="1">IF(ISBLANK(OFFSET('Data Table'!$A105,2,Settings!$G$5)),"",OFFSET('Data Table'!$A105,2,Settings!$G$5))</f>
        <v/>
      </c>
      <c r="F110" s="143">
        <f ca="1">IF(ISBLANK(OFFSET('Data Table'!$A105,2,Settings!$G$5+1)),"",OFFSET('Data Table'!$A105,2,Settings!$G$5+1))</f>
        <v>20</v>
      </c>
      <c r="G110">
        <f t="shared" ca="1" si="1"/>
        <v>20</v>
      </c>
      <c r="H110">
        <f ca="1">IF(G110=-888,"",IF(G110=-999,Settings!$G$4,IF(AND($AA$6="Excluded",G110&gt;=Settings!$G$2),"",G110)))</f>
        <v>20</v>
      </c>
      <c r="I110">
        <f ca="1">IF(OR(G110=-999,G110=-888,AND($AA$6="Excluded",G110&gt;=Settings!$G$2)),"",G110)</f>
        <v>20</v>
      </c>
      <c r="O110" s="46"/>
    </row>
    <row r="111" spans="1:15" x14ac:dyDescent="0.2">
      <c r="A111" s="1">
        <v>106</v>
      </c>
      <c r="B111" t="str">
        <f>IF(ISERROR(MATCH(TRIM('Data Table'!D108),Settings!$G$15:$G$20,0)),TRIM('Data Table'!D108),LOOKUP(TRIM('Data Table'!D108),Settings!$G$15:$G$20,Settings!$H$15:$H$20))</f>
        <v>Henderson</v>
      </c>
      <c r="C111" t="str">
        <f>IF('Data Table'!F108="","SS",IF('Data Table'!F108="SF","SD",TRIM('Data Table'!F108)))</f>
        <v>SD</v>
      </c>
      <c r="D111" s="106" t="str">
        <f ca="1">IF(ISBLANK(OFFSET('Data Table'!$A106,2,Settings!$G$5-1)),"",OFFSET('Data Table'!$A106,2,Settings!$G$5-1))</f>
        <v/>
      </c>
      <c r="E111" s="106" t="str">
        <f ca="1">IF(ISBLANK(OFFSET('Data Table'!$A106,2,Settings!$G$5)),"",OFFSET('Data Table'!$A106,2,Settings!$G$5))</f>
        <v/>
      </c>
      <c r="F111" s="143">
        <f ca="1">IF(ISBLANK(OFFSET('Data Table'!$A106,2,Settings!$G$5+1)),"",OFFSET('Data Table'!$A106,2,Settings!$G$5+1))</f>
        <v>20</v>
      </c>
      <c r="G111">
        <f t="shared" ca="1" si="1"/>
        <v>20</v>
      </c>
      <c r="H111">
        <f ca="1">IF(G111=-888,"",IF(G111=-999,Settings!$G$4,IF(AND($AA$6="Excluded",G111&gt;=Settings!$G$2),"",G111)))</f>
        <v>20</v>
      </c>
      <c r="I111">
        <f ca="1">IF(OR(G111=-999,G111=-888,AND($AA$6="Excluded",G111&gt;=Settings!$G$2)),"",G111)</f>
        <v>20</v>
      </c>
      <c r="O111" s="46"/>
    </row>
    <row r="112" spans="1:15" x14ac:dyDescent="0.2">
      <c r="A112" s="1">
        <v>107</v>
      </c>
      <c r="B112" t="str">
        <f>IF(ISERROR(MATCH(TRIM('Data Table'!D109),Settings!$G$15:$G$20,0)),TRIM('Data Table'!D109),LOOKUP(TRIM('Data Table'!D109),Settings!$G$15:$G$20,Settings!$H$15:$H$20))</f>
        <v>Chatham</v>
      </c>
      <c r="C112" t="str">
        <f>IF('Data Table'!F109="","SS",IF('Data Table'!F109="SF","SD",TRIM('Data Table'!F109)))</f>
        <v>SS</v>
      </c>
      <c r="D112" s="106">
        <f ca="1">IF(ISBLANK(OFFSET('Data Table'!$A107,2,Settings!$G$5-1)),"",OFFSET('Data Table'!$A107,2,Settings!$G$5-1))</f>
        <v>11</v>
      </c>
      <c r="E112" s="106" t="str">
        <f ca="1">IF(ISBLANK(OFFSET('Data Table'!$A107,2,Settings!$G$5)),"",OFFSET('Data Table'!$A107,2,Settings!$G$5))</f>
        <v/>
      </c>
      <c r="F112" s="143" t="str">
        <f ca="1">IF(ISBLANK(OFFSET('Data Table'!$A107,2,Settings!$G$5+1)),"",OFFSET('Data Table'!$A107,2,Settings!$G$5+1))</f>
        <v/>
      </c>
      <c r="G112">
        <f t="shared" ca="1" si="1"/>
        <v>11</v>
      </c>
      <c r="H112">
        <f ca="1">IF(G112=-888,"",IF(G112=-999,Settings!$G$4,IF(AND($AA$6="Excluded",G112&gt;=Settings!$G$2),"",G112)))</f>
        <v>11</v>
      </c>
      <c r="I112">
        <f ca="1">IF(OR(G112=-999,G112=-888,AND($AA$6="Excluded",G112&gt;=Settings!$G$2)),"",G112)</f>
        <v>11</v>
      </c>
      <c r="O112" s="46"/>
    </row>
    <row r="113" spans="1:15" x14ac:dyDescent="0.2">
      <c r="A113" s="1">
        <v>108</v>
      </c>
      <c r="B113" t="str">
        <f>IF(ISERROR(MATCH(TRIM('Data Table'!D110),Settings!$G$15:$G$20,0)),TRIM('Data Table'!D110),LOOKUP(TRIM('Data Table'!D110),Settings!$G$15:$G$20,Settings!$H$15:$H$20))</f>
        <v>Chatham</v>
      </c>
      <c r="C113" t="str">
        <f>IF('Data Table'!F110="","SS",IF('Data Table'!F110="SF","SD",TRIM('Data Table'!F110)))</f>
        <v>SB</v>
      </c>
      <c r="D113" s="106">
        <f ca="1">IF(ISBLANK(OFFSET('Data Table'!$A108,2,Settings!$G$5-1)),"",OFFSET('Data Table'!$A108,2,Settings!$G$5-1))</f>
        <v>11</v>
      </c>
      <c r="E113" s="106" t="str">
        <f ca="1">IF(ISBLANK(OFFSET('Data Table'!$A108,2,Settings!$G$5)),"",OFFSET('Data Table'!$A108,2,Settings!$G$5))</f>
        <v/>
      </c>
      <c r="F113" s="143" t="str">
        <f ca="1">IF(ISBLANK(OFFSET('Data Table'!$A108,2,Settings!$G$5+1)),"",OFFSET('Data Table'!$A108,2,Settings!$G$5+1))</f>
        <v/>
      </c>
      <c r="G113">
        <f t="shared" ca="1" si="1"/>
        <v>11</v>
      </c>
      <c r="H113">
        <f ca="1">IF(G113=-888,"",IF(G113=-999,Settings!$G$4,IF(AND($AA$6="Excluded",G113&gt;=Settings!$G$2),"",G113)))</f>
        <v>11</v>
      </c>
      <c r="I113">
        <f ca="1">IF(OR(G113=-999,G113=-888,AND($AA$6="Excluded",G113&gt;=Settings!$G$2)),"",G113)</f>
        <v>11</v>
      </c>
      <c r="O113" s="46"/>
    </row>
    <row r="114" spans="1:15" x14ac:dyDescent="0.2">
      <c r="A114" s="1">
        <v>109</v>
      </c>
      <c r="B114" t="str">
        <f>IF(ISERROR(MATCH(TRIM('Data Table'!D111),Settings!$G$15:$G$20,0)),TRIM('Data Table'!D111),LOOKUP(TRIM('Data Table'!D111),Settings!$G$15:$G$20,Settings!$H$15:$H$20))</f>
        <v>Chatham</v>
      </c>
      <c r="C114" t="str">
        <f>IF('Data Table'!F111="","SS",IF('Data Table'!F111="SF","SD",TRIM('Data Table'!F111)))</f>
        <v>SD</v>
      </c>
      <c r="D114" s="106">
        <f ca="1">IF(ISBLANK(OFFSET('Data Table'!$A109,2,Settings!$G$5-1)),"",OFFSET('Data Table'!$A109,2,Settings!$G$5-1))</f>
        <v>10</v>
      </c>
      <c r="E114" s="106" t="str">
        <f ca="1">IF(ISBLANK(OFFSET('Data Table'!$A109,2,Settings!$G$5)),"",OFFSET('Data Table'!$A109,2,Settings!$G$5))</f>
        <v/>
      </c>
      <c r="F114" s="143" t="str">
        <f ca="1">IF(ISBLANK(OFFSET('Data Table'!$A109,2,Settings!$G$5+1)),"",OFFSET('Data Table'!$A109,2,Settings!$G$5+1))</f>
        <v/>
      </c>
      <c r="G114">
        <f t="shared" ca="1" si="1"/>
        <v>10</v>
      </c>
      <c r="H114">
        <f ca="1">IF(G114=-888,"",IF(G114=-999,Settings!$G$4,IF(AND($AA$6="Excluded",G114&gt;=Settings!$G$2),"",G114)))</f>
        <v>10</v>
      </c>
      <c r="I114">
        <f ca="1">IF(OR(G114=-999,G114=-888,AND($AA$6="Excluded",G114&gt;=Settings!$G$2)),"",G114)</f>
        <v>10</v>
      </c>
      <c r="O114" s="46"/>
    </row>
    <row r="115" spans="1:15" x14ac:dyDescent="0.2">
      <c r="A115" s="1">
        <v>110</v>
      </c>
      <c r="B115" t="str">
        <f>IF(ISERROR(MATCH(TRIM('Data Table'!D112),Settings!$G$15:$G$20,0)),TRIM('Data Table'!D112),LOOKUP(TRIM('Data Table'!D112),Settings!$G$15:$G$20,Settings!$H$15:$H$20))</f>
        <v>Chatham</v>
      </c>
      <c r="C115" t="str">
        <f>IF('Data Table'!F112="","SS",IF('Data Table'!F112="SF","SD",TRIM('Data Table'!F112)))</f>
        <v>SD</v>
      </c>
      <c r="D115" s="106" t="str">
        <f ca="1">IF(ISBLANK(OFFSET('Data Table'!$A110,2,Settings!$G$5-1)),"",OFFSET('Data Table'!$A110,2,Settings!$G$5-1))</f>
        <v/>
      </c>
      <c r="E115" s="106">
        <f ca="1">IF(ISBLANK(OFFSET('Data Table'!$A110,2,Settings!$G$5)),"",OFFSET('Data Table'!$A110,2,Settings!$G$5))</f>
        <v>7.056</v>
      </c>
      <c r="F115" s="143" t="str">
        <f ca="1">IF(ISBLANK(OFFSET('Data Table'!$A110,2,Settings!$G$5+1)),"",OFFSET('Data Table'!$A110,2,Settings!$G$5+1))</f>
        <v/>
      </c>
      <c r="G115">
        <f t="shared" ca="1" si="1"/>
        <v>7.056</v>
      </c>
      <c r="H115">
        <f ca="1">IF(G115=-888,"",IF(G115=-999,Settings!$G$4,IF(AND($AA$6="Excluded",G115&gt;=Settings!$G$2),"",G115)))</f>
        <v>7.056</v>
      </c>
      <c r="I115">
        <f ca="1">IF(OR(G115=-999,G115=-888,AND($AA$6="Excluded",G115&gt;=Settings!$G$2)),"",G115)</f>
        <v>7.056</v>
      </c>
      <c r="O115" s="46"/>
    </row>
    <row r="116" spans="1:15" x14ac:dyDescent="0.2">
      <c r="A116" s="1">
        <v>111</v>
      </c>
      <c r="B116" t="str">
        <f>IF(ISERROR(MATCH(TRIM('Data Table'!D113),Settings!$G$15:$G$20,0)),TRIM('Data Table'!D113),LOOKUP(TRIM('Data Table'!D113),Settings!$G$15:$G$20,Settings!$H$15:$H$20))</f>
        <v>Chatham</v>
      </c>
      <c r="C116" t="str">
        <f>IF('Data Table'!F113="","SS",IF('Data Table'!F113="SF","SD",TRIM('Data Table'!F113)))</f>
        <v>SS</v>
      </c>
      <c r="D116" s="106">
        <f ca="1">IF(ISBLANK(OFFSET('Data Table'!$A111,2,Settings!$G$5-1)),"",OFFSET('Data Table'!$A111,2,Settings!$G$5-1))</f>
        <v>13</v>
      </c>
      <c r="E116" s="106" t="str">
        <f ca="1">IF(ISBLANK(OFFSET('Data Table'!$A111,2,Settings!$G$5)),"",OFFSET('Data Table'!$A111,2,Settings!$G$5))</f>
        <v/>
      </c>
      <c r="F116" s="143" t="str">
        <f ca="1">IF(ISBLANK(OFFSET('Data Table'!$A111,2,Settings!$G$5+1)),"",OFFSET('Data Table'!$A111,2,Settings!$G$5+1))</f>
        <v/>
      </c>
      <c r="G116">
        <f t="shared" ca="1" si="1"/>
        <v>13</v>
      </c>
      <c r="H116">
        <f ca="1">IF(G116=-888,"",IF(G116=-999,Settings!$G$4,IF(AND($AA$6="Excluded",G116&gt;=Settings!$G$2),"",G116)))</f>
        <v>13</v>
      </c>
      <c r="I116">
        <f ca="1">IF(OR(G116=-999,G116=-888,AND($AA$6="Excluded",G116&gt;=Settings!$G$2)),"",G116)</f>
        <v>13</v>
      </c>
      <c r="O116" s="46"/>
    </row>
    <row r="117" spans="1:15" x14ac:dyDescent="0.2">
      <c r="A117" s="1">
        <v>112</v>
      </c>
      <c r="B117" t="str">
        <f>IF(ISERROR(MATCH(TRIM('Data Table'!D114),Settings!$G$15:$G$20,0)),TRIM('Data Table'!D114),LOOKUP(TRIM('Data Table'!D114),Settings!$G$15:$G$20,Settings!$H$15:$H$20))</f>
        <v>Chatham</v>
      </c>
      <c r="C117" t="str">
        <f>IF('Data Table'!F114="","SS",IF('Data Table'!F114="SF","SD",TRIM('Data Table'!F114)))</f>
        <v>SS</v>
      </c>
      <c r="D117" s="106">
        <f ca="1">IF(ISBLANK(OFFSET('Data Table'!$A112,2,Settings!$G$5-1)),"",OFFSET('Data Table'!$A112,2,Settings!$G$5-1))</f>
        <v>11</v>
      </c>
      <c r="E117" s="106" t="str">
        <f ca="1">IF(ISBLANK(OFFSET('Data Table'!$A112,2,Settings!$G$5)),"",OFFSET('Data Table'!$A112,2,Settings!$G$5))</f>
        <v/>
      </c>
      <c r="F117" s="143" t="str">
        <f ca="1">IF(ISBLANK(OFFSET('Data Table'!$A112,2,Settings!$G$5+1)),"",OFFSET('Data Table'!$A112,2,Settings!$G$5+1))</f>
        <v/>
      </c>
      <c r="G117">
        <f t="shared" ca="1" si="1"/>
        <v>11</v>
      </c>
      <c r="H117">
        <f ca="1">IF(G117=-888,"",IF(G117=-999,Settings!$G$4,IF(AND($AA$6="Excluded",G117&gt;=Settings!$G$2),"",G117)))</f>
        <v>11</v>
      </c>
      <c r="I117">
        <f ca="1">IF(OR(G117=-999,G117=-888,AND($AA$6="Excluded",G117&gt;=Settings!$G$2)),"",G117)</f>
        <v>11</v>
      </c>
      <c r="O117" s="46"/>
    </row>
    <row r="118" spans="1:15" x14ac:dyDescent="0.2">
      <c r="A118" s="1">
        <v>113</v>
      </c>
      <c r="B118" t="str">
        <f>IF(ISERROR(MATCH(TRIM('Data Table'!D115),Settings!$G$15:$G$20,0)),TRIM('Data Table'!D115),LOOKUP(TRIM('Data Table'!D115),Settings!$G$15:$G$20,Settings!$H$15:$H$20))</f>
        <v>Chatham</v>
      </c>
      <c r="C118" t="str">
        <f>IF('Data Table'!F115="","SS",IF('Data Table'!F115="SF","SD",TRIM('Data Table'!F115)))</f>
        <v>SS</v>
      </c>
      <c r="D118" s="106">
        <f ca="1">IF(ISBLANK(OFFSET('Data Table'!$A113,2,Settings!$G$5-1)),"",OFFSET('Data Table'!$A113,2,Settings!$G$5-1))</f>
        <v>10</v>
      </c>
      <c r="E118" s="106" t="str">
        <f ca="1">IF(ISBLANK(OFFSET('Data Table'!$A113,2,Settings!$G$5)),"",OFFSET('Data Table'!$A113,2,Settings!$G$5))</f>
        <v/>
      </c>
      <c r="F118" s="143" t="str">
        <f ca="1">IF(ISBLANK(OFFSET('Data Table'!$A113,2,Settings!$G$5+1)),"",OFFSET('Data Table'!$A113,2,Settings!$G$5+1))</f>
        <v/>
      </c>
      <c r="G118">
        <f t="shared" ca="1" si="1"/>
        <v>10</v>
      </c>
      <c r="H118">
        <f ca="1">IF(G118=-888,"",IF(G118=-999,Settings!$G$4,IF(AND($AA$6="Excluded",G118&gt;=Settings!$G$2),"",G118)))</f>
        <v>10</v>
      </c>
      <c r="I118">
        <f ca="1">IF(OR(G118=-999,G118=-888,AND($AA$6="Excluded",G118&gt;=Settings!$G$2)),"",G118)</f>
        <v>10</v>
      </c>
      <c r="O118" s="46"/>
    </row>
    <row r="119" spans="1:15" x14ac:dyDescent="0.2">
      <c r="A119" s="1">
        <v>114</v>
      </c>
      <c r="B119" t="str">
        <f>IF(ISERROR(MATCH(TRIM('Data Table'!D116),Settings!$G$15:$G$20,0)),TRIM('Data Table'!D116),LOOKUP(TRIM('Data Table'!D116),Settings!$G$15:$G$20,Settings!$H$15:$H$20))</f>
        <v>Chatham</v>
      </c>
      <c r="C119" t="str">
        <f>IF('Data Table'!F116="","SS",IF('Data Table'!F116="SF","SD",TRIM('Data Table'!F116)))</f>
        <v>SS</v>
      </c>
      <c r="D119" s="106">
        <f ca="1">IF(ISBLANK(OFFSET('Data Table'!$A114,2,Settings!$G$5-1)),"",OFFSET('Data Table'!$A114,2,Settings!$G$5-1))</f>
        <v>30</v>
      </c>
      <c r="E119" s="106" t="str">
        <f ca="1">IF(ISBLANK(OFFSET('Data Table'!$A114,2,Settings!$G$5)),"",OFFSET('Data Table'!$A114,2,Settings!$G$5))</f>
        <v/>
      </c>
      <c r="F119" s="143" t="str">
        <f ca="1">IF(ISBLANK(OFFSET('Data Table'!$A114,2,Settings!$G$5+1)),"",OFFSET('Data Table'!$A114,2,Settings!$G$5+1))</f>
        <v/>
      </c>
      <c r="G119">
        <f t="shared" ca="1" si="1"/>
        <v>30</v>
      </c>
      <c r="H119">
        <f ca="1">IF(G119=-888,"",IF(G119=-999,Settings!$G$4,IF(AND($AA$6="Excluded",G119&gt;=Settings!$G$2),"",G119)))</f>
        <v>30</v>
      </c>
      <c r="I119">
        <f ca="1">IF(OR(G119=-999,G119=-888,AND($AA$6="Excluded",G119&gt;=Settings!$G$2)),"",G119)</f>
        <v>30</v>
      </c>
      <c r="O119" s="46"/>
    </row>
    <row r="120" spans="1:15" x14ac:dyDescent="0.2">
      <c r="A120" s="1">
        <v>115</v>
      </c>
      <c r="B120" t="str">
        <f>IF(ISERROR(MATCH(TRIM('Data Table'!D117),Settings!$G$15:$G$20,0)),TRIM('Data Table'!D117),LOOKUP(TRIM('Data Table'!D117),Settings!$G$15:$G$20,Settings!$H$15:$H$20))</f>
        <v>Chatham</v>
      </c>
      <c r="C120" t="str">
        <f>IF('Data Table'!F117="","SS",IF('Data Table'!F117="SF","SD",TRIM('Data Table'!F117)))</f>
        <v>SS</v>
      </c>
      <c r="D120" s="106">
        <f ca="1">IF(ISBLANK(OFFSET('Data Table'!$A115,2,Settings!$G$5-1)),"",OFFSET('Data Table'!$A115,2,Settings!$G$5-1))</f>
        <v>10</v>
      </c>
      <c r="E120" s="106" t="str">
        <f ca="1">IF(ISBLANK(OFFSET('Data Table'!$A115,2,Settings!$G$5)),"",OFFSET('Data Table'!$A115,2,Settings!$G$5))</f>
        <v/>
      </c>
      <c r="F120" s="143" t="str">
        <f ca="1">IF(ISBLANK(OFFSET('Data Table'!$A115,2,Settings!$G$5+1)),"",OFFSET('Data Table'!$A115,2,Settings!$G$5+1))</f>
        <v/>
      </c>
      <c r="G120">
        <f t="shared" ca="1" si="1"/>
        <v>10</v>
      </c>
      <c r="H120">
        <f ca="1">IF(G120=-888,"",IF(G120=-999,Settings!$G$4,IF(AND($AA$6="Excluded",G120&gt;=Settings!$G$2),"",G120)))</f>
        <v>10</v>
      </c>
      <c r="I120">
        <f ca="1">IF(OR(G120=-999,G120=-888,AND($AA$6="Excluded",G120&gt;=Settings!$G$2)),"",G120)</f>
        <v>10</v>
      </c>
      <c r="O120" s="46"/>
    </row>
    <row r="121" spans="1:15" x14ac:dyDescent="0.2">
      <c r="A121" s="1">
        <v>116</v>
      </c>
      <c r="B121" t="str">
        <f>IF(ISERROR(MATCH(TRIM('Data Table'!D118),Settings!$G$15:$G$20,0)),TRIM('Data Table'!D118),LOOKUP(TRIM('Data Table'!D118),Settings!$G$15:$G$20,Settings!$H$15:$H$20))</f>
        <v>Chatham</v>
      </c>
      <c r="C121" t="str">
        <f>IF('Data Table'!F118="","SS",IF('Data Table'!F118="SF","SD",TRIM('Data Table'!F118)))</f>
        <v>SS</v>
      </c>
      <c r="D121" s="106">
        <f ca="1">IF(ISBLANK(OFFSET('Data Table'!$A116,2,Settings!$G$5-1)),"",OFFSET('Data Table'!$A116,2,Settings!$G$5-1))</f>
        <v>8.4</v>
      </c>
      <c r="E121" s="106" t="str">
        <f ca="1">IF(ISBLANK(OFFSET('Data Table'!$A116,2,Settings!$G$5)),"",OFFSET('Data Table'!$A116,2,Settings!$G$5))</f>
        <v/>
      </c>
      <c r="F121" s="143" t="str">
        <f ca="1">IF(ISBLANK(OFFSET('Data Table'!$A116,2,Settings!$G$5+1)),"",OFFSET('Data Table'!$A116,2,Settings!$G$5+1))</f>
        <v/>
      </c>
      <c r="G121">
        <f t="shared" ca="1" si="1"/>
        <v>8.4</v>
      </c>
      <c r="H121">
        <f ca="1">IF(G121=-888,"",IF(G121=-999,Settings!$G$4,IF(AND($AA$6="Excluded",G121&gt;=Settings!$G$2),"",G121)))</f>
        <v>8.4</v>
      </c>
      <c r="I121">
        <f ca="1">IF(OR(G121=-999,G121=-888,AND($AA$6="Excluded",G121&gt;=Settings!$G$2)),"",G121)</f>
        <v>8.4</v>
      </c>
      <c r="O121" s="46"/>
    </row>
    <row r="122" spans="1:15" x14ac:dyDescent="0.2">
      <c r="A122" s="1">
        <v>117</v>
      </c>
      <c r="B122" t="str">
        <f>IF(ISERROR(MATCH(TRIM('Data Table'!D119),Settings!$G$15:$G$20,0)),TRIM('Data Table'!D119),LOOKUP(TRIM('Data Table'!D119),Settings!$G$15:$G$20,Settings!$H$15:$H$20))</f>
        <v>Columbus</v>
      </c>
      <c r="C122" t="str">
        <f>IF('Data Table'!F119="","SS",IF('Data Table'!F119="SF","SD",TRIM('Data Table'!F119)))</f>
        <v>SS</v>
      </c>
      <c r="D122" s="106">
        <f ca="1">IF(ISBLANK(OFFSET('Data Table'!$A117,2,Settings!$G$5-1)),"",OFFSET('Data Table'!$A117,2,Settings!$G$5-1))</f>
        <v>12</v>
      </c>
      <c r="E122" s="106" t="str">
        <f ca="1">IF(ISBLANK(OFFSET('Data Table'!$A117,2,Settings!$G$5)),"",OFFSET('Data Table'!$A117,2,Settings!$G$5))</f>
        <v/>
      </c>
      <c r="F122" s="143" t="str">
        <f ca="1">IF(ISBLANK(OFFSET('Data Table'!$A117,2,Settings!$G$5+1)),"",OFFSET('Data Table'!$A117,2,Settings!$G$5+1))</f>
        <v/>
      </c>
      <c r="G122">
        <f t="shared" ca="1" si="1"/>
        <v>12</v>
      </c>
      <c r="H122">
        <f ca="1">IF(G122=-888,"",IF(G122=-999,Settings!$G$4,IF(AND($AA$6="Excluded",G122&gt;=Settings!$G$2),"",G122)))</f>
        <v>12</v>
      </c>
      <c r="I122">
        <f ca="1">IF(OR(G122=-999,G122=-888,AND($AA$6="Excluded",G122&gt;=Settings!$G$2)),"",G122)</f>
        <v>12</v>
      </c>
      <c r="O122" s="46"/>
    </row>
    <row r="123" spans="1:15" x14ac:dyDescent="0.2">
      <c r="A123" s="1">
        <v>118</v>
      </c>
      <c r="B123" t="str">
        <f>IF(ISERROR(MATCH(TRIM('Data Table'!D120),Settings!$G$15:$G$20,0)),TRIM('Data Table'!D120),LOOKUP(TRIM('Data Table'!D120),Settings!$G$15:$G$20,Settings!$H$15:$H$20))</f>
        <v>Columbus</v>
      </c>
      <c r="C123" t="str">
        <f>IF('Data Table'!F120="","SS",IF('Data Table'!F120="SF","SD",TRIM('Data Table'!F120)))</f>
        <v>SB</v>
      </c>
      <c r="D123" s="106">
        <f ca="1">IF(ISBLANK(OFFSET('Data Table'!$A118,2,Settings!$G$5-1)),"",OFFSET('Data Table'!$A118,2,Settings!$G$5-1))</f>
        <v>7.9</v>
      </c>
      <c r="E123" s="106" t="str">
        <f ca="1">IF(ISBLANK(OFFSET('Data Table'!$A118,2,Settings!$G$5)),"",OFFSET('Data Table'!$A118,2,Settings!$G$5))</f>
        <v/>
      </c>
      <c r="F123" s="143" t="str">
        <f ca="1">IF(ISBLANK(OFFSET('Data Table'!$A118,2,Settings!$G$5+1)),"",OFFSET('Data Table'!$A118,2,Settings!$G$5+1))</f>
        <v/>
      </c>
      <c r="G123">
        <f t="shared" ca="1" si="1"/>
        <v>7.9</v>
      </c>
      <c r="H123">
        <f ca="1">IF(G123=-888,"",IF(G123=-999,Settings!$G$4,IF(AND($AA$6="Excluded",G123&gt;=Settings!$G$2),"",G123)))</f>
        <v>7.9</v>
      </c>
      <c r="I123">
        <f ca="1">IF(OR(G123=-999,G123=-888,AND($AA$6="Excluded",G123&gt;=Settings!$G$2)),"",G123)</f>
        <v>7.9</v>
      </c>
      <c r="O123" s="46"/>
    </row>
    <row r="124" spans="1:15" x14ac:dyDescent="0.2">
      <c r="A124" s="1">
        <v>119</v>
      </c>
      <c r="B124" t="str">
        <f>IF(ISERROR(MATCH(TRIM('Data Table'!D121),Settings!$G$15:$G$20,0)),TRIM('Data Table'!D121),LOOKUP(TRIM('Data Table'!D121),Settings!$G$15:$G$20,Settings!$H$15:$H$20))</f>
        <v>Columbus</v>
      </c>
      <c r="C124" t="str">
        <f>IF('Data Table'!F121="","SS",IF('Data Table'!F121="SF","SD",TRIM('Data Table'!F121)))</f>
        <v>SD</v>
      </c>
      <c r="D124" s="106">
        <f ca="1">IF(ISBLANK(OFFSET('Data Table'!$A119,2,Settings!$G$5-1)),"",OFFSET('Data Table'!$A119,2,Settings!$G$5-1))</f>
        <v>15</v>
      </c>
      <c r="E124" s="106" t="str">
        <f ca="1">IF(ISBLANK(OFFSET('Data Table'!$A119,2,Settings!$G$5)),"",OFFSET('Data Table'!$A119,2,Settings!$G$5))</f>
        <v/>
      </c>
      <c r="F124" s="143" t="str">
        <f ca="1">IF(ISBLANK(OFFSET('Data Table'!$A119,2,Settings!$G$5+1)),"",OFFSET('Data Table'!$A119,2,Settings!$G$5+1))</f>
        <v/>
      </c>
      <c r="G124">
        <f t="shared" ca="1" si="1"/>
        <v>15</v>
      </c>
      <c r="H124">
        <f ca="1">IF(G124=-888,"",IF(G124=-999,Settings!$G$4,IF(AND($AA$6="Excluded",G124&gt;=Settings!$G$2),"",G124)))</f>
        <v>15</v>
      </c>
      <c r="I124">
        <f ca="1">IF(OR(G124=-999,G124=-888,AND($AA$6="Excluded",G124&gt;=Settings!$G$2)),"",G124)</f>
        <v>15</v>
      </c>
      <c r="O124" s="46"/>
    </row>
    <row r="125" spans="1:15" x14ac:dyDescent="0.2">
      <c r="A125" s="1">
        <v>120</v>
      </c>
      <c r="B125" t="str">
        <f>IF(ISERROR(MATCH(TRIM('Data Table'!D122),Settings!$G$15:$G$20,0)),TRIM('Data Table'!D122),LOOKUP(TRIM('Data Table'!D122),Settings!$G$15:$G$20,Settings!$H$15:$H$20))</f>
        <v>Transylvania</v>
      </c>
      <c r="C125" t="str">
        <f>IF('Data Table'!F122="","SS",IF('Data Table'!F122="SF","SD",TRIM('Data Table'!F122)))</f>
        <v>SS</v>
      </c>
      <c r="D125" s="106">
        <f ca="1">IF(ISBLANK(OFFSET('Data Table'!$A120,2,Settings!$G$5-1)),"",OFFSET('Data Table'!$A120,2,Settings!$G$5-1))</f>
        <v>9.9</v>
      </c>
      <c r="E125" s="106" t="str">
        <f ca="1">IF(ISBLANK(OFFSET('Data Table'!$A120,2,Settings!$G$5)),"",OFFSET('Data Table'!$A120,2,Settings!$G$5))</f>
        <v/>
      </c>
      <c r="F125" s="143" t="str">
        <f ca="1">IF(ISBLANK(OFFSET('Data Table'!$A120,2,Settings!$G$5+1)),"",OFFSET('Data Table'!$A120,2,Settings!$G$5+1))</f>
        <v/>
      </c>
      <c r="G125">
        <f t="shared" ca="1" si="1"/>
        <v>9.9</v>
      </c>
      <c r="H125">
        <f ca="1">IF(G125=-888,"",IF(G125=-999,Settings!$G$4,IF(AND($AA$6="Excluded",G125&gt;=Settings!$G$2),"",G125)))</f>
        <v>9.9</v>
      </c>
      <c r="I125">
        <f ca="1">IF(OR(G125=-999,G125=-888,AND($AA$6="Excluded",G125&gt;=Settings!$G$2)),"",G125)</f>
        <v>9.9</v>
      </c>
      <c r="O125" s="46"/>
    </row>
    <row r="126" spans="1:15" x14ac:dyDescent="0.2">
      <c r="A126" s="1">
        <v>121</v>
      </c>
      <c r="B126" t="str">
        <f>IF(ISERROR(MATCH(TRIM('Data Table'!D123),Settings!$G$15:$G$20,0)),TRIM('Data Table'!D123),LOOKUP(TRIM('Data Table'!D123),Settings!$G$15:$G$20,Settings!$H$15:$H$20))</f>
        <v>Transylvania</v>
      </c>
      <c r="C126" t="str">
        <f>IF('Data Table'!F123="","SS",IF('Data Table'!F123="SF","SD",TRIM('Data Table'!F123)))</f>
        <v>SD</v>
      </c>
      <c r="D126" s="106">
        <f ca="1">IF(ISBLANK(OFFSET('Data Table'!$A121,2,Settings!$G$5-1)),"",OFFSET('Data Table'!$A121,2,Settings!$G$5-1))</f>
        <v>4.8</v>
      </c>
      <c r="E126" s="106" t="str">
        <f ca="1">IF(ISBLANK(OFFSET('Data Table'!$A121,2,Settings!$G$5)),"",OFFSET('Data Table'!$A121,2,Settings!$G$5))</f>
        <v/>
      </c>
      <c r="F126" s="143" t="str">
        <f ca="1">IF(ISBLANK(OFFSET('Data Table'!$A121,2,Settings!$G$5+1)),"",OFFSET('Data Table'!$A121,2,Settings!$G$5+1))</f>
        <v/>
      </c>
      <c r="G126">
        <f t="shared" ca="1" si="1"/>
        <v>4.8</v>
      </c>
      <c r="H126">
        <f ca="1">IF(G126=-888,"",IF(G126=-999,Settings!$G$4,IF(AND($AA$6="Excluded",G126&gt;=Settings!$G$2),"",G126)))</f>
        <v>4.8</v>
      </c>
      <c r="I126">
        <f ca="1">IF(OR(G126=-999,G126=-888,AND($AA$6="Excluded",G126&gt;=Settings!$G$2)),"",G126)</f>
        <v>4.8</v>
      </c>
      <c r="O126" s="46"/>
    </row>
    <row r="127" spans="1:15" x14ac:dyDescent="0.2">
      <c r="A127" s="1">
        <v>122</v>
      </c>
      <c r="B127" t="str">
        <f>IF(ISERROR(MATCH(TRIM('Data Table'!D124),Settings!$G$15:$G$20,0)),TRIM('Data Table'!D124),LOOKUP(TRIM('Data Table'!D124),Settings!$G$15:$G$20,Settings!$H$15:$H$20))</f>
        <v>Hoke</v>
      </c>
      <c r="C127" t="str">
        <f>IF('Data Table'!F124="","SS",IF('Data Table'!F124="SF","SD",TRIM('Data Table'!F124)))</f>
        <v>SS</v>
      </c>
      <c r="D127" s="106">
        <f ca="1">IF(ISBLANK(OFFSET('Data Table'!$A122,2,Settings!$G$5-1)),"",OFFSET('Data Table'!$A122,2,Settings!$G$5-1))</f>
        <v>10</v>
      </c>
      <c r="E127" s="106" t="str">
        <f ca="1">IF(ISBLANK(OFFSET('Data Table'!$A122,2,Settings!$G$5)),"",OFFSET('Data Table'!$A122,2,Settings!$G$5))</f>
        <v/>
      </c>
      <c r="F127" s="143" t="str">
        <f ca="1">IF(ISBLANK(OFFSET('Data Table'!$A122,2,Settings!$G$5+1)),"",OFFSET('Data Table'!$A122,2,Settings!$G$5+1))</f>
        <v/>
      </c>
      <c r="G127">
        <f t="shared" ca="1" si="1"/>
        <v>10</v>
      </c>
      <c r="H127">
        <f ca="1">IF(G127=-888,"",IF(G127=-999,Settings!$G$4,IF(AND($AA$6="Excluded",G127&gt;=Settings!$G$2),"",G127)))</f>
        <v>10</v>
      </c>
      <c r="I127">
        <f ca="1">IF(OR(G127=-999,G127=-888,AND($AA$6="Excluded",G127&gt;=Settings!$G$2)),"",G127)</f>
        <v>10</v>
      </c>
      <c r="O127" s="46"/>
    </row>
    <row r="128" spans="1:15" x14ac:dyDescent="0.2">
      <c r="A128" s="1">
        <v>123</v>
      </c>
      <c r="B128" t="str">
        <f>IF(ISERROR(MATCH(TRIM('Data Table'!D125),Settings!$G$15:$G$20,0)),TRIM('Data Table'!D125),LOOKUP(TRIM('Data Table'!D125),Settings!$G$15:$G$20,Settings!$H$15:$H$20))</f>
        <v>Hoke</v>
      </c>
      <c r="C128" t="str">
        <f>IF('Data Table'!F125="","SS",IF('Data Table'!F125="SF","SD",TRIM('Data Table'!F125)))</f>
        <v>SB</v>
      </c>
      <c r="D128" s="106" t="str">
        <f ca="1">IF(ISBLANK(OFFSET('Data Table'!$A123,2,Settings!$G$5-1)),"",OFFSET('Data Table'!$A123,2,Settings!$G$5-1))</f>
        <v/>
      </c>
      <c r="E128" s="106" t="str">
        <f ca="1">IF(ISBLANK(OFFSET('Data Table'!$A123,2,Settings!$G$5)),"",OFFSET('Data Table'!$A123,2,Settings!$G$5))</f>
        <v/>
      </c>
      <c r="F128" s="143">
        <f ca="1">IF(ISBLANK(OFFSET('Data Table'!$A123,2,Settings!$G$5+1)),"",OFFSET('Data Table'!$A123,2,Settings!$G$5+1))</f>
        <v>5</v>
      </c>
      <c r="G128">
        <f t="shared" ca="1" si="1"/>
        <v>5</v>
      </c>
      <c r="H128">
        <f ca="1">IF(G128=-888,"",IF(G128=-999,Settings!$G$4,IF(AND($AA$6="Excluded",G128&gt;=Settings!$G$2),"",G128)))</f>
        <v>5</v>
      </c>
      <c r="I128">
        <f ca="1">IF(OR(G128=-999,G128=-888,AND($AA$6="Excluded",G128&gt;=Settings!$G$2)),"",G128)</f>
        <v>5</v>
      </c>
      <c r="O128" s="46"/>
    </row>
    <row r="129" spans="1:15" x14ac:dyDescent="0.2">
      <c r="A129" s="1">
        <v>124</v>
      </c>
      <c r="B129" t="str">
        <f>IF(ISERROR(MATCH(TRIM('Data Table'!D126),Settings!$G$15:$G$20,0)),TRIM('Data Table'!D126),LOOKUP(TRIM('Data Table'!D126),Settings!$G$15:$G$20,Settings!$H$15:$H$20))</f>
        <v>Lee</v>
      </c>
      <c r="C129" t="str">
        <f>IF('Data Table'!F126="","SS",IF('Data Table'!F126="SF","SD",TRIM('Data Table'!F126)))</f>
        <v>SS</v>
      </c>
      <c r="D129" s="106">
        <f ca="1">IF(ISBLANK(OFFSET('Data Table'!$A124,2,Settings!$G$5-1)),"",OFFSET('Data Table'!$A124,2,Settings!$G$5-1))</f>
        <v>6</v>
      </c>
      <c r="E129" s="106" t="str">
        <f ca="1">IF(ISBLANK(OFFSET('Data Table'!$A124,2,Settings!$G$5)),"",OFFSET('Data Table'!$A124,2,Settings!$G$5))</f>
        <v/>
      </c>
      <c r="F129" s="143" t="str">
        <f ca="1">IF(ISBLANK(OFFSET('Data Table'!$A124,2,Settings!$G$5+1)),"",OFFSET('Data Table'!$A124,2,Settings!$G$5+1))</f>
        <v/>
      </c>
      <c r="G129">
        <f t="shared" ca="1" si="1"/>
        <v>6</v>
      </c>
      <c r="H129">
        <f ca="1">IF(G129=-888,"",IF(G129=-999,Settings!$G$4,IF(AND($AA$6="Excluded",G129&gt;=Settings!$G$2),"",G129)))</f>
        <v>6</v>
      </c>
      <c r="I129">
        <f ca="1">IF(OR(G129=-999,G129=-888,AND($AA$6="Excluded",G129&gt;=Settings!$G$2)),"",G129)</f>
        <v>6</v>
      </c>
      <c r="O129" s="46"/>
    </row>
    <row r="130" spans="1:15" x14ac:dyDescent="0.2">
      <c r="A130" s="1">
        <v>125</v>
      </c>
      <c r="B130" t="str">
        <f>IF(ISERROR(MATCH(TRIM('Data Table'!D127),Settings!$G$15:$G$20,0)),TRIM('Data Table'!D127),LOOKUP(TRIM('Data Table'!D127),Settings!$G$15:$G$20,Settings!$H$15:$H$20))</f>
        <v>Lee</v>
      </c>
      <c r="C130" t="str">
        <f>IF('Data Table'!F127="","SS",IF('Data Table'!F127="SF","SD",TRIM('Data Table'!F127)))</f>
        <v>SB</v>
      </c>
      <c r="D130" s="106">
        <f ca="1">IF(ISBLANK(OFFSET('Data Table'!$A125,2,Settings!$G$5-1)),"",OFFSET('Data Table'!$A125,2,Settings!$G$5-1))</f>
        <v>3.7</v>
      </c>
      <c r="E130" s="106" t="str">
        <f ca="1">IF(ISBLANK(OFFSET('Data Table'!$A125,2,Settings!$G$5)),"",OFFSET('Data Table'!$A125,2,Settings!$G$5))</f>
        <v/>
      </c>
      <c r="F130" s="143" t="str">
        <f ca="1">IF(ISBLANK(OFFSET('Data Table'!$A125,2,Settings!$G$5+1)),"",OFFSET('Data Table'!$A125,2,Settings!$G$5+1))</f>
        <v/>
      </c>
      <c r="G130">
        <f t="shared" ca="1" si="1"/>
        <v>3.7</v>
      </c>
      <c r="H130">
        <f ca="1">IF(G130=-888,"",IF(G130=-999,Settings!$G$4,IF(AND($AA$6="Excluded",G130&gt;=Settings!$G$2),"",G130)))</f>
        <v>3.7</v>
      </c>
      <c r="I130">
        <f ca="1">IF(OR(G130=-999,G130=-888,AND($AA$6="Excluded",G130&gt;=Settings!$G$2)),"",G130)</f>
        <v>3.7</v>
      </c>
      <c r="O130" s="46"/>
    </row>
    <row r="131" spans="1:15" x14ac:dyDescent="0.2">
      <c r="A131" s="1">
        <v>126</v>
      </c>
      <c r="B131" t="str">
        <f>IF(ISERROR(MATCH(TRIM('Data Table'!D128),Settings!$G$15:$G$20,0)),TRIM('Data Table'!D128),LOOKUP(TRIM('Data Table'!D128),Settings!$G$15:$G$20,Settings!$H$15:$H$20))</f>
        <v>Lee</v>
      </c>
      <c r="C131" t="str">
        <f>IF('Data Table'!F128="","SS",IF('Data Table'!F128="SF","SD",TRIM('Data Table'!F128)))</f>
        <v>SD</v>
      </c>
      <c r="D131" s="106">
        <f ca="1">IF(ISBLANK(OFFSET('Data Table'!$A126,2,Settings!$G$5-1)),"",OFFSET('Data Table'!$A126,2,Settings!$G$5-1))</f>
        <v>14</v>
      </c>
      <c r="E131" s="106" t="str">
        <f ca="1">IF(ISBLANK(OFFSET('Data Table'!$A126,2,Settings!$G$5)),"",OFFSET('Data Table'!$A126,2,Settings!$G$5))</f>
        <v/>
      </c>
      <c r="F131" s="143" t="str">
        <f ca="1">IF(ISBLANK(OFFSET('Data Table'!$A126,2,Settings!$G$5+1)),"",OFFSET('Data Table'!$A126,2,Settings!$G$5+1))</f>
        <v/>
      </c>
      <c r="G131">
        <f t="shared" ca="1" si="1"/>
        <v>14</v>
      </c>
      <c r="H131">
        <f ca="1">IF(G131=-888,"",IF(G131=-999,Settings!$G$4,IF(AND($AA$6="Excluded",G131&gt;=Settings!$G$2),"",G131)))</f>
        <v>14</v>
      </c>
      <c r="I131">
        <f ca="1">IF(OR(G131=-999,G131=-888,AND($AA$6="Excluded",G131&gt;=Settings!$G$2)),"",G131)</f>
        <v>14</v>
      </c>
      <c r="O131" s="46"/>
    </row>
    <row r="132" spans="1:15" x14ac:dyDescent="0.2">
      <c r="A132" s="1">
        <v>127</v>
      </c>
      <c r="B132" t="str">
        <f>IF(ISERROR(MATCH(TRIM('Data Table'!D129),Settings!$G$15:$G$20,0)),TRIM('Data Table'!D129),LOOKUP(TRIM('Data Table'!D129),Settings!$G$15:$G$20,Settings!$H$15:$H$20))</f>
        <v>Alleghany</v>
      </c>
      <c r="C132" t="str">
        <f>IF('Data Table'!F129="","SS",IF('Data Table'!F129="SF","SD",TRIM('Data Table'!F129)))</f>
        <v>SD</v>
      </c>
      <c r="D132" s="106" t="str">
        <f ca="1">IF(ISBLANK(OFFSET('Data Table'!$A127,2,Settings!$G$5-1)),"",OFFSET('Data Table'!$A127,2,Settings!$G$5-1))</f>
        <v/>
      </c>
      <c r="E132" s="106" t="str">
        <f ca="1">IF(ISBLANK(OFFSET('Data Table'!$A127,2,Settings!$G$5)),"",OFFSET('Data Table'!$A127,2,Settings!$G$5))</f>
        <v/>
      </c>
      <c r="F132" s="143">
        <f ca="1">IF(ISBLANK(OFFSET('Data Table'!$A127,2,Settings!$G$5+1)),"",OFFSET('Data Table'!$A127,2,Settings!$G$5+1))</f>
        <v>20</v>
      </c>
      <c r="G132">
        <f t="shared" ca="1" si="1"/>
        <v>20</v>
      </c>
      <c r="H132">
        <f ca="1">IF(G132=-888,"",IF(G132=-999,Settings!$G$4,IF(AND($AA$6="Excluded",G132&gt;=Settings!$G$2),"",G132)))</f>
        <v>20</v>
      </c>
      <c r="I132">
        <f ca="1">IF(OR(G132=-999,G132=-888,AND($AA$6="Excluded",G132&gt;=Settings!$G$2)),"",G132)</f>
        <v>20</v>
      </c>
      <c r="O132" s="46"/>
    </row>
    <row r="133" spans="1:15" x14ac:dyDescent="0.2">
      <c r="A133" s="1">
        <v>128</v>
      </c>
      <c r="B133" t="str">
        <f>IF(ISERROR(MATCH(TRIM('Data Table'!D130),Settings!$G$15:$G$20,0)),TRIM('Data Table'!D130),LOOKUP(TRIM('Data Table'!D130),Settings!$G$15:$G$20,Settings!$H$15:$H$20))</f>
        <v>Randolph</v>
      </c>
      <c r="C133" t="str">
        <f>IF('Data Table'!F130="","SS",IF('Data Table'!F130="SF","SD",TRIM('Data Table'!F130)))</f>
        <v>SS</v>
      </c>
      <c r="D133" s="106">
        <f ca="1">IF(ISBLANK(OFFSET('Data Table'!$A128,2,Settings!$G$5-1)),"",OFFSET('Data Table'!$A128,2,Settings!$G$5-1))</f>
        <v>93</v>
      </c>
      <c r="E133" s="106" t="str">
        <f ca="1">IF(ISBLANK(OFFSET('Data Table'!$A128,2,Settings!$G$5)),"",OFFSET('Data Table'!$A128,2,Settings!$G$5))</f>
        <v/>
      </c>
      <c r="F133" s="143" t="str">
        <f ca="1">IF(ISBLANK(OFFSET('Data Table'!$A128,2,Settings!$G$5+1)),"",OFFSET('Data Table'!$A128,2,Settings!$G$5+1))</f>
        <v/>
      </c>
      <c r="G133">
        <f t="shared" ca="1" si="1"/>
        <v>93</v>
      </c>
      <c r="H133">
        <f ca="1">IF(G133=-888,"",IF(G133=-999,Settings!$G$4,IF(AND($AA$6="Excluded",G133&gt;=Settings!$G$2),"",G133)))</f>
        <v>93</v>
      </c>
      <c r="I133">
        <f ca="1">IF(OR(G133=-999,G133=-888,AND($AA$6="Excluded",G133&gt;=Settings!$G$2)),"",G133)</f>
        <v>93</v>
      </c>
      <c r="O133" s="46"/>
    </row>
    <row r="134" spans="1:15" x14ac:dyDescent="0.2">
      <c r="A134" s="1">
        <v>129</v>
      </c>
      <c r="B134" t="str">
        <f>IF(ISERROR(MATCH(TRIM('Data Table'!D131),Settings!$G$15:$G$20,0)),TRIM('Data Table'!D131),LOOKUP(TRIM('Data Table'!D131),Settings!$G$15:$G$20,Settings!$H$15:$H$20))</f>
        <v>Gaston</v>
      </c>
      <c r="C134" t="str">
        <f>IF('Data Table'!F131="","SS",IF('Data Table'!F131="SF","SD",TRIM('Data Table'!F131)))</f>
        <v>SB</v>
      </c>
      <c r="D134" s="106">
        <f ca="1">IF(ISBLANK(OFFSET('Data Table'!$A129,2,Settings!$G$5-1)),"",OFFSET('Data Table'!$A129,2,Settings!$G$5-1))</f>
        <v>2</v>
      </c>
      <c r="E134" s="106" t="str">
        <f ca="1">IF(ISBLANK(OFFSET('Data Table'!$A129,2,Settings!$G$5)),"",OFFSET('Data Table'!$A129,2,Settings!$G$5))</f>
        <v/>
      </c>
      <c r="F134" s="143" t="str">
        <f ca="1">IF(ISBLANK(OFFSET('Data Table'!$A129,2,Settings!$G$5+1)),"",OFFSET('Data Table'!$A129,2,Settings!$G$5+1))</f>
        <v/>
      </c>
      <c r="G134">
        <f t="shared" ref="G134:G197" ca="1" si="2">IF(COUNTIF(SOIL_DEPTH,C134)=0,"",IF(OR(D134="#",E134="#",F134="#"),-999,IF(AND(D134="",E134="",F134=""),-888,IF(COUNT(D134:F134)&gt;1,"ERROR",MAX(D134:F134)))))</f>
        <v>2</v>
      </c>
      <c r="H134">
        <f ca="1">IF(G134=-888,"",IF(G134=-999,Settings!$G$4,IF(AND($AA$6="Excluded",G134&gt;=Settings!$G$2),"",G134)))</f>
        <v>2</v>
      </c>
      <c r="I134">
        <f ca="1">IF(OR(G134=-999,G134=-888,AND($AA$6="Excluded",G134&gt;=Settings!$G$2)),"",G134)</f>
        <v>2</v>
      </c>
      <c r="O134" s="46"/>
    </row>
    <row r="135" spans="1:15" x14ac:dyDescent="0.2">
      <c r="A135" s="1">
        <v>130</v>
      </c>
      <c r="B135" t="str">
        <f>IF(ISERROR(MATCH(TRIM('Data Table'!D132),Settings!$G$15:$G$20,0)),TRIM('Data Table'!D132),LOOKUP(TRIM('Data Table'!D132),Settings!$G$15:$G$20,Settings!$H$15:$H$20))</f>
        <v>Caldwell</v>
      </c>
      <c r="C135" t="str">
        <f>IF('Data Table'!F132="","SS",IF('Data Table'!F132="SF","SD",TRIM('Data Table'!F132)))</f>
        <v>SS</v>
      </c>
      <c r="D135" s="106">
        <f ca="1">IF(ISBLANK(OFFSET('Data Table'!$A130,2,Settings!$G$5-1)),"",OFFSET('Data Table'!$A130,2,Settings!$G$5-1))</f>
        <v>97</v>
      </c>
      <c r="E135" s="106" t="str">
        <f ca="1">IF(ISBLANK(OFFSET('Data Table'!$A130,2,Settings!$G$5)),"",OFFSET('Data Table'!$A130,2,Settings!$G$5))</f>
        <v/>
      </c>
      <c r="F135" s="143" t="str">
        <f ca="1">IF(ISBLANK(OFFSET('Data Table'!$A130,2,Settings!$G$5+1)),"",OFFSET('Data Table'!$A130,2,Settings!$G$5+1))</f>
        <v/>
      </c>
      <c r="G135">
        <f t="shared" ca="1" si="2"/>
        <v>97</v>
      </c>
      <c r="H135">
        <f ca="1">IF(G135=-888,"",IF(G135=-999,Settings!$G$4,IF(AND($AA$6="Excluded",G135&gt;=Settings!$G$2),"",G135)))</f>
        <v>97</v>
      </c>
      <c r="I135">
        <f ca="1">IF(OR(G135=-999,G135=-888,AND($AA$6="Excluded",G135&gt;=Settings!$G$2)),"",G135)</f>
        <v>97</v>
      </c>
      <c r="O135" s="46"/>
    </row>
    <row r="136" spans="1:15" x14ac:dyDescent="0.2">
      <c r="A136" s="1">
        <v>131</v>
      </c>
      <c r="B136" t="str">
        <f>IF(ISERROR(MATCH(TRIM('Data Table'!D133),Settings!$G$15:$G$20,0)),TRIM('Data Table'!D133),LOOKUP(TRIM('Data Table'!D133),Settings!$G$15:$G$20,Settings!$H$15:$H$20))</f>
        <v>Guilford</v>
      </c>
      <c r="C136" t="str">
        <f>IF('Data Table'!F133="","SS",IF('Data Table'!F133="SF","SD",TRIM('Data Table'!F133)))</f>
        <v>SS</v>
      </c>
      <c r="D136" s="106" t="str">
        <f ca="1">IF(ISBLANK(OFFSET('Data Table'!$A131,2,Settings!$G$5-1)),"",OFFSET('Data Table'!$A131,2,Settings!$G$5-1))</f>
        <v/>
      </c>
      <c r="E136" s="106" t="str">
        <f ca="1">IF(ISBLANK(OFFSET('Data Table'!$A131,2,Settings!$G$5)),"",OFFSET('Data Table'!$A131,2,Settings!$G$5))</f>
        <v/>
      </c>
      <c r="F136" s="143">
        <f ca="1">IF(ISBLANK(OFFSET('Data Table'!$A131,2,Settings!$G$5+1)),"",OFFSET('Data Table'!$A131,2,Settings!$G$5+1))</f>
        <v>19</v>
      </c>
      <c r="G136">
        <f t="shared" ca="1" si="2"/>
        <v>19</v>
      </c>
      <c r="H136">
        <f ca="1">IF(G136=-888,"",IF(G136=-999,Settings!$G$4,IF(AND($AA$6="Excluded",G136&gt;=Settings!$G$2),"",G136)))</f>
        <v>19</v>
      </c>
      <c r="I136">
        <f ca="1">IF(OR(G136=-999,G136=-888,AND($AA$6="Excluded",G136&gt;=Settings!$G$2)),"",G136)</f>
        <v>19</v>
      </c>
      <c r="O136" s="46"/>
    </row>
    <row r="137" spans="1:15" x14ac:dyDescent="0.2">
      <c r="A137" s="1">
        <v>132</v>
      </c>
      <c r="B137" t="str">
        <f>IF(ISERROR(MATCH(TRIM('Data Table'!D134),Settings!$G$15:$G$20,0)),TRIM('Data Table'!D134),LOOKUP(TRIM('Data Table'!D134),Settings!$G$15:$G$20,Settings!$H$15:$H$20))</f>
        <v>Cumberland</v>
      </c>
      <c r="C137" t="str">
        <f>IF('Data Table'!F134="","SS",IF('Data Table'!F134="SF","SD",TRIM('Data Table'!F134)))</f>
        <v>SS</v>
      </c>
      <c r="D137" s="106" t="str">
        <f ca="1">IF(ISBLANK(OFFSET('Data Table'!$A132,2,Settings!$G$5-1)),"",OFFSET('Data Table'!$A132,2,Settings!$G$5-1))</f>
        <v/>
      </c>
      <c r="E137" s="106">
        <f ca="1">IF(ISBLANK(OFFSET('Data Table'!$A132,2,Settings!$G$5)),"",OFFSET('Data Table'!$A132,2,Settings!$G$5))</f>
        <v>11.664</v>
      </c>
      <c r="F137" s="143" t="str">
        <f ca="1">IF(ISBLANK(OFFSET('Data Table'!$A132,2,Settings!$G$5+1)),"",OFFSET('Data Table'!$A132,2,Settings!$G$5+1))</f>
        <v/>
      </c>
      <c r="G137">
        <f t="shared" ca="1" si="2"/>
        <v>11.664</v>
      </c>
      <c r="H137">
        <f ca="1">IF(G137=-888,"",IF(G137=-999,Settings!$G$4,IF(AND($AA$6="Excluded",G137&gt;=Settings!$G$2),"",G137)))</f>
        <v>11.664</v>
      </c>
      <c r="I137">
        <f ca="1">IF(OR(G137=-999,G137=-888,AND($AA$6="Excluded",G137&gt;=Settings!$G$2)),"",G137)</f>
        <v>11.664</v>
      </c>
      <c r="O137" s="46"/>
    </row>
    <row r="138" spans="1:15" x14ac:dyDescent="0.2">
      <c r="A138" s="1">
        <v>133</v>
      </c>
      <c r="B138" t="str">
        <f>IF(ISERROR(MATCH(TRIM('Data Table'!D135),Settings!$G$15:$G$20,0)),TRIM('Data Table'!D135),LOOKUP(TRIM('Data Table'!D135),Settings!$G$15:$G$20,Settings!$H$15:$H$20))</f>
        <v>Guilford</v>
      </c>
      <c r="C138" t="str">
        <f>IF('Data Table'!F135="","SS",IF('Data Table'!F135="SF","SD",TRIM('Data Table'!F135)))</f>
        <v>SS</v>
      </c>
      <c r="D138" s="106">
        <f ca="1">IF(ISBLANK(OFFSET('Data Table'!$A133,2,Settings!$G$5-1)),"",OFFSET('Data Table'!$A133,2,Settings!$G$5-1))</f>
        <v>30</v>
      </c>
      <c r="E138" s="106" t="str">
        <f ca="1">IF(ISBLANK(OFFSET('Data Table'!$A133,2,Settings!$G$5)),"",OFFSET('Data Table'!$A133,2,Settings!$G$5))</f>
        <v/>
      </c>
      <c r="F138" s="143" t="str">
        <f ca="1">IF(ISBLANK(OFFSET('Data Table'!$A133,2,Settings!$G$5+1)),"",OFFSET('Data Table'!$A133,2,Settings!$G$5+1))</f>
        <v/>
      </c>
      <c r="G138">
        <f t="shared" ca="1" si="2"/>
        <v>30</v>
      </c>
      <c r="H138">
        <f ca="1">IF(G138=-888,"",IF(G138=-999,Settings!$G$4,IF(AND($AA$6="Excluded",G138&gt;=Settings!$G$2),"",G138)))</f>
        <v>30</v>
      </c>
      <c r="I138">
        <f ca="1">IF(OR(G138=-999,G138=-888,AND($AA$6="Excluded",G138&gt;=Settings!$G$2)),"",G138)</f>
        <v>30</v>
      </c>
      <c r="O138" s="46"/>
    </row>
    <row r="139" spans="1:15" x14ac:dyDescent="0.2">
      <c r="A139" s="1">
        <v>134</v>
      </c>
      <c r="B139" t="str">
        <f>IF(ISERROR(MATCH(TRIM('Data Table'!D136),Settings!$G$15:$G$20,0)),TRIM('Data Table'!D136),LOOKUP(TRIM('Data Table'!D136),Settings!$G$15:$G$20,Settings!$H$15:$H$20))</f>
        <v>Nash</v>
      </c>
      <c r="C139" t="str">
        <f>IF('Data Table'!F136="","SS",IF('Data Table'!F136="SF","SD",TRIM('Data Table'!F136)))</f>
        <v>SB</v>
      </c>
      <c r="D139" s="106" t="str">
        <f ca="1">IF(ISBLANK(OFFSET('Data Table'!$A134,2,Settings!$G$5-1)),"",OFFSET('Data Table'!$A134,2,Settings!$G$5-1))</f>
        <v/>
      </c>
      <c r="E139" s="106">
        <f ca="1">IF(ISBLANK(OFFSET('Data Table'!$A134,2,Settings!$G$5)),"",OFFSET('Data Table'!$A134,2,Settings!$G$5))</f>
        <v>18</v>
      </c>
      <c r="F139" s="143" t="str">
        <f ca="1">IF(ISBLANK(OFFSET('Data Table'!$A134,2,Settings!$G$5+1)),"",OFFSET('Data Table'!$A134,2,Settings!$G$5+1))</f>
        <v/>
      </c>
      <c r="G139">
        <f t="shared" ca="1" si="2"/>
        <v>18</v>
      </c>
      <c r="H139">
        <f ca="1">IF(G139=-888,"",IF(G139=-999,Settings!$G$4,IF(AND($AA$6="Excluded",G139&gt;=Settings!$G$2),"",G139)))</f>
        <v>18</v>
      </c>
      <c r="I139">
        <f ca="1">IF(OR(G139=-999,G139=-888,AND($AA$6="Excluded",G139&gt;=Settings!$G$2)),"",G139)</f>
        <v>18</v>
      </c>
      <c r="O139" s="46"/>
    </row>
    <row r="140" spans="1:15" x14ac:dyDescent="0.2">
      <c r="A140" s="1">
        <v>135</v>
      </c>
      <c r="B140" t="str">
        <f>IF(ISERROR(MATCH(TRIM('Data Table'!D137),Settings!$G$15:$G$20,0)),TRIM('Data Table'!D137),LOOKUP(TRIM('Data Table'!D137),Settings!$G$15:$G$20,Settings!$H$15:$H$20))</f>
        <v>Mitchell</v>
      </c>
      <c r="C140" t="str">
        <f>IF('Data Table'!F137="","SS",IF('Data Table'!F137="SF","SD",TRIM('Data Table'!F137)))</f>
        <v>SS</v>
      </c>
      <c r="D140" s="106" t="str">
        <f ca="1">IF(ISBLANK(OFFSET('Data Table'!$A135,2,Settings!$G$5-1)),"",OFFSET('Data Table'!$A135,2,Settings!$G$5-1))</f>
        <v/>
      </c>
      <c r="E140" s="106">
        <f ca="1">IF(ISBLANK(OFFSET('Data Table'!$A135,2,Settings!$G$5)),"",OFFSET('Data Table'!$A135,2,Settings!$G$5))</f>
        <v>30.24</v>
      </c>
      <c r="F140" s="143" t="str">
        <f ca="1">IF(ISBLANK(OFFSET('Data Table'!$A135,2,Settings!$G$5+1)),"",OFFSET('Data Table'!$A135,2,Settings!$G$5+1))</f>
        <v/>
      </c>
      <c r="G140">
        <f t="shared" ca="1" si="2"/>
        <v>30.24</v>
      </c>
      <c r="H140">
        <f ca="1">IF(G140=-888,"",IF(G140=-999,Settings!$G$4,IF(AND($AA$6="Excluded",G140&gt;=Settings!$G$2),"",G140)))</f>
        <v>30.24</v>
      </c>
      <c r="I140">
        <f ca="1">IF(OR(G140=-999,G140=-888,AND($AA$6="Excluded",G140&gt;=Settings!$G$2)),"",G140)</f>
        <v>30.24</v>
      </c>
      <c r="O140" s="46"/>
    </row>
    <row r="141" spans="1:15" x14ac:dyDescent="0.2">
      <c r="A141" s="1">
        <v>136</v>
      </c>
      <c r="B141" t="str">
        <f>IF(ISERROR(MATCH(TRIM('Data Table'!D138),Settings!$G$15:$G$20,0)),TRIM('Data Table'!D138),LOOKUP(TRIM('Data Table'!D138),Settings!$G$15:$G$20,Settings!$H$15:$H$20))</f>
        <v>Mitchell</v>
      </c>
      <c r="C141" t="str">
        <f>IF('Data Table'!F138="","SS",IF('Data Table'!F138="SF","SD",TRIM('Data Table'!F138)))</f>
        <v>SB</v>
      </c>
      <c r="D141" s="106" t="str">
        <f ca="1">IF(ISBLANK(OFFSET('Data Table'!$A136,2,Settings!$G$5-1)),"",OFFSET('Data Table'!$A136,2,Settings!$G$5-1))</f>
        <v/>
      </c>
      <c r="E141" s="106">
        <f ca="1">IF(ISBLANK(OFFSET('Data Table'!$A136,2,Settings!$G$5)),"",OFFSET('Data Table'!$A136,2,Settings!$G$5))</f>
        <v>13.536</v>
      </c>
      <c r="F141" s="143" t="str">
        <f ca="1">IF(ISBLANK(OFFSET('Data Table'!$A136,2,Settings!$G$5+1)),"",OFFSET('Data Table'!$A136,2,Settings!$G$5+1))</f>
        <v/>
      </c>
      <c r="G141">
        <f t="shared" ca="1" si="2"/>
        <v>13.536</v>
      </c>
      <c r="H141">
        <f ca="1">IF(G141=-888,"",IF(G141=-999,Settings!$G$4,IF(AND($AA$6="Excluded",G141&gt;=Settings!$G$2),"",G141)))</f>
        <v>13.536</v>
      </c>
      <c r="I141">
        <f ca="1">IF(OR(G141=-999,G141=-888,AND($AA$6="Excluded",G141&gt;=Settings!$G$2)),"",G141)</f>
        <v>13.536</v>
      </c>
      <c r="O141" s="46"/>
    </row>
    <row r="142" spans="1:15" x14ac:dyDescent="0.2">
      <c r="A142" s="1">
        <v>137</v>
      </c>
      <c r="B142" t="str">
        <f>IF(ISERROR(MATCH(TRIM('Data Table'!D139),Settings!$G$15:$G$20,0)),TRIM('Data Table'!D139),LOOKUP(TRIM('Data Table'!D139),Settings!$G$15:$G$20,Settings!$H$15:$H$20))</f>
        <v>Mitchell</v>
      </c>
      <c r="C142" t="str">
        <f>IF('Data Table'!F139="","SS",IF('Data Table'!F139="SF","SD",TRIM('Data Table'!F139)))</f>
        <v>SD</v>
      </c>
      <c r="D142" s="106">
        <f ca="1">IF(ISBLANK(OFFSET('Data Table'!$A137,2,Settings!$G$5-1)),"",OFFSET('Data Table'!$A137,2,Settings!$G$5-1))</f>
        <v>2.4</v>
      </c>
      <c r="E142" s="106" t="str">
        <f ca="1">IF(ISBLANK(OFFSET('Data Table'!$A137,2,Settings!$G$5)),"",OFFSET('Data Table'!$A137,2,Settings!$G$5))</f>
        <v/>
      </c>
      <c r="F142" s="143" t="str">
        <f ca="1">IF(ISBLANK(OFFSET('Data Table'!$A137,2,Settings!$G$5+1)),"",OFFSET('Data Table'!$A137,2,Settings!$G$5+1))</f>
        <v/>
      </c>
      <c r="G142">
        <f t="shared" ca="1" si="2"/>
        <v>2.4</v>
      </c>
      <c r="H142">
        <f ca="1">IF(G142=-888,"",IF(G142=-999,Settings!$G$4,IF(AND($AA$6="Excluded",G142&gt;=Settings!$G$2),"",G142)))</f>
        <v>2.4</v>
      </c>
      <c r="I142">
        <f ca="1">IF(OR(G142=-999,G142=-888,AND($AA$6="Excluded",G142&gt;=Settings!$G$2)),"",G142)</f>
        <v>2.4</v>
      </c>
      <c r="O142" s="46"/>
    </row>
    <row r="143" spans="1:15" x14ac:dyDescent="0.2">
      <c r="A143" s="1">
        <v>138</v>
      </c>
      <c r="B143" t="str">
        <f>IF(ISERROR(MATCH(TRIM('Data Table'!D140),Settings!$G$15:$G$20,0)),TRIM('Data Table'!D140),LOOKUP(TRIM('Data Table'!D140),Settings!$G$15:$G$20,Settings!$H$15:$H$20))</f>
        <v>New Hanover</v>
      </c>
      <c r="C143" t="str">
        <f>IF('Data Table'!F140="","SS",IF('Data Table'!F140="SF","SD",TRIM('Data Table'!F140)))</f>
        <v>SS</v>
      </c>
      <c r="D143" s="106" t="str">
        <f ca="1">IF(ISBLANK(OFFSET('Data Table'!$A138,2,Settings!$G$5-1)),"",OFFSET('Data Table'!$A138,2,Settings!$G$5-1))</f>
        <v/>
      </c>
      <c r="E143" s="106" t="str">
        <f ca="1">IF(ISBLANK(OFFSET('Data Table'!$A138,2,Settings!$G$5)),"",OFFSET('Data Table'!$A138,2,Settings!$G$5))</f>
        <v/>
      </c>
      <c r="F143" s="143">
        <f ca="1">IF(ISBLANK(OFFSET('Data Table'!$A138,2,Settings!$G$5+1)),"",OFFSET('Data Table'!$A138,2,Settings!$G$5+1))</f>
        <v>2.2999999999999998</v>
      </c>
      <c r="G143">
        <f t="shared" ca="1" si="2"/>
        <v>2.2999999999999998</v>
      </c>
      <c r="H143">
        <f ca="1">IF(G143=-888,"",IF(G143=-999,Settings!$G$4,IF(AND($AA$6="Excluded",G143&gt;=Settings!$G$2),"",G143)))</f>
        <v>2.2999999999999998</v>
      </c>
      <c r="I143">
        <f ca="1">IF(OR(G143=-999,G143=-888,AND($AA$6="Excluded",G143&gt;=Settings!$G$2)),"",G143)</f>
        <v>2.2999999999999998</v>
      </c>
      <c r="O143" s="46"/>
    </row>
    <row r="144" spans="1:15" x14ac:dyDescent="0.2">
      <c r="A144" s="1">
        <v>139</v>
      </c>
      <c r="B144" t="str">
        <f>IF(ISERROR(MATCH(TRIM('Data Table'!D141),Settings!$G$15:$G$20,0)),TRIM('Data Table'!D141),LOOKUP(TRIM('Data Table'!D141),Settings!$G$15:$G$20,Settings!$H$15:$H$20))</f>
        <v>Martin</v>
      </c>
      <c r="C144" t="str">
        <f>IF('Data Table'!F141="","SS",IF('Data Table'!F141="SF","SD",TRIM('Data Table'!F141)))</f>
        <v>SS</v>
      </c>
      <c r="D144" s="106" t="str">
        <f ca="1">IF(ISBLANK(OFFSET('Data Table'!$A139,2,Settings!$G$5-1)),"",OFFSET('Data Table'!$A139,2,Settings!$G$5-1))</f>
        <v/>
      </c>
      <c r="E144" s="106" t="str">
        <f ca="1">IF(ISBLANK(OFFSET('Data Table'!$A139,2,Settings!$G$5)),"",OFFSET('Data Table'!$A139,2,Settings!$G$5))</f>
        <v/>
      </c>
      <c r="F144" s="143">
        <f ca="1">IF(ISBLANK(OFFSET('Data Table'!$A139,2,Settings!$G$5+1)),"",OFFSET('Data Table'!$A139,2,Settings!$G$5+1))</f>
        <v>20</v>
      </c>
      <c r="G144">
        <f t="shared" ca="1" si="2"/>
        <v>20</v>
      </c>
      <c r="H144">
        <f ca="1">IF(G144=-888,"",IF(G144=-999,Settings!$G$4,IF(AND($AA$6="Excluded",G144&gt;=Settings!$G$2),"",G144)))</f>
        <v>20</v>
      </c>
      <c r="I144">
        <f ca="1">IF(OR(G144=-999,G144=-888,AND($AA$6="Excluded",G144&gt;=Settings!$G$2)),"",G144)</f>
        <v>20</v>
      </c>
      <c r="O144" s="46"/>
    </row>
    <row r="145" spans="1:15" x14ac:dyDescent="0.2">
      <c r="A145" s="1">
        <v>140</v>
      </c>
      <c r="B145" t="str">
        <f>IF(ISERROR(MATCH(TRIM('Data Table'!D142),Settings!$G$15:$G$20,0)),TRIM('Data Table'!D142),LOOKUP(TRIM('Data Table'!D142),Settings!$G$15:$G$20,Settings!$H$15:$H$20))</f>
        <v>Buncombe</v>
      </c>
      <c r="C145" t="str">
        <f>IF('Data Table'!F142="","SS",IF('Data Table'!F142="SF","SD",TRIM('Data Table'!F142)))</f>
        <v>SS</v>
      </c>
      <c r="D145" s="106">
        <f ca="1">IF(ISBLANK(OFFSET('Data Table'!$A140,2,Settings!$G$5-1)),"",OFFSET('Data Table'!$A140,2,Settings!$G$5-1))</f>
        <v>12</v>
      </c>
      <c r="E145" s="106" t="str">
        <f ca="1">IF(ISBLANK(OFFSET('Data Table'!$A140,2,Settings!$G$5)),"",OFFSET('Data Table'!$A140,2,Settings!$G$5))</f>
        <v/>
      </c>
      <c r="F145" s="143" t="str">
        <f ca="1">IF(ISBLANK(OFFSET('Data Table'!$A140,2,Settings!$G$5+1)),"",OFFSET('Data Table'!$A140,2,Settings!$G$5+1))</f>
        <v/>
      </c>
      <c r="G145">
        <f t="shared" ca="1" si="2"/>
        <v>12</v>
      </c>
      <c r="H145">
        <f ca="1">IF(G145=-888,"",IF(G145=-999,Settings!$G$4,IF(AND($AA$6="Excluded",G145&gt;=Settings!$G$2),"",G145)))</f>
        <v>12</v>
      </c>
      <c r="I145">
        <f ca="1">IF(OR(G145=-999,G145=-888,AND($AA$6="Excluded",G145&gt;=Settings!$G$2)),"",G145)</f>
        <v>12</v>
      </c>
      <c r="O145" s="46"/>
    </row>
    <row r="146" spans="1:15" x14ac:dyDescent="0.2">
      <c r="A146" s="1">
        <v>141</v>
      </c>
      <c r="B146" t="str">
        <f>IF(ISERROR(MATCH(TRIM('Data Table'!D143),Settings!$G$15:$G$20,0)),TRIM('Data Table'!D143),LOOKUP(TRIM('Data Table'!D143),Settings!$G$15:$G$20,Settings!$H$15:$H$20))</f>
        <v>Moore</v>
      </c>
      <c r="C146" t="str">
        <f>IF('Data Table'!F143="","SS",IF('Data Table'!F143="SF","SD",TRIM('Data Table'!F143)))</f>
        <v>SS</v>
      </c>
      <c r="D146" s="106">
        <f ca="1">IF(ISBLANK(OFFSET('Data Table'!$A141,2,Settings!$G$5-1)),"",OFFSET('Data Table'!$A141,2,Settings!$G$5-1))</f>
        <v>7.7</v>
      </c>
      <c r="E146" s="106" t="str">
        <f ca="1">IF(ISBLANK(OFFSET('Data Table'!$A141,2,Settings!$G$5)),"",OFFSET('Data Table'!$A141,2,Settings!$G$5))</f>
        <v/>
      </c>
      <c r="F146" s="143" t="str">
        <f ca="1">IF(ISBLANK(OFFSET('Data Table'!$A141,2,Settings!$G$5+1)),"",OFFSET('Data Table'!$A141,2,Settings!$G$5+1))</f>
        <v/>
      </c>
      <c r="G146">
        <f t="shared" ca="1" si="2"/>
        <v>7.7</v>
      </c>
      <c r="H146">
        <f ca="1">IF(G146=-888,"",IF(G146=-999,Settings!$G$4,IF(AND($AA$6="Excluded",G146&gt;=Settings!$G$2),"",G146)))</f>
        <v>7.7</v>
      </c>
      <c r="I146">
        <f ca="1">IF(OR(G146=-999,G146=-888,AND($AA$6="Excluded",G146&gt;=Settings!$G$2)),"",G146)</f>
        <v>7.7</v>
      </c>
      <c r="O146" s="46"/>
    </row>
    <row r="147" spans="1:15" x14ac:dyDescent="0.2">
      <c r="A147" s="1">
        <v>142</v>
      </c>
      <c r="B147" t="str">
        <f>IF(ISERROR(MATCH(TRIM('Data Table'!D144),Settings!$G$15:$G$20,0)),TRIM('Data Table'!D144),LOOKUP(TRIM('Data Table'!D144),Settings!$G$15:$G$20,Settings!$H$15:$H$20))</f>
        <v>Moore</v>
      </c>
      <c r="C147" t="str">
        <f>IF('Data Table'!F144="","SS",IF('Data Table'!F144="SF","SD",TRIM('Data Table'!F144)))</f>
        <v>SB</v>
      </c>
      <c r="D147" s="106">
        <f ca="1">IF(ISBLANK(OFFSET('Data Table'!$A142,2,Settings!$G$5-1)),"",OFFSET('Data Table'!$A142,2,Settings!$G$5-1))</f>
        <v>1.7</v>
      </c>
      <c r="E147" s="106" t="str">
        <f ca="1">IF(ISBLANK(OFFSET('Data Table'!$A142,2,Settings!$G$5)),"",OFFSET('Data Table'!$A142,2,Settings!$G$5))</f>
        <v/>
      </c>
      <c r="F147" s="143" t="str">
        <f ca="1">IF(ISBLANK(OFFSET('Data Table'!$A142,2,Settings!$G$5+1)),"",OFFSET('Data Table'!$A142,2,Settings!$G$5+1))</f>
        <v/>
      </c>
      <c r="G147">
        <f t="shared" ca="1" si="2"/>
        <v>1.7</v>
      </c>
      <c r="H147">
        <f ca="1">IF(G147=-888,"",IF(G147=-999,Settings!$G$4,IF(AND($AA$6="Excluded",G147&gt;=Settings!$G$2),"",G147)))</f>
        <v>1.7</v>
      </c>
      <c r="I147">
        <f ca="1">IF(OR(G147=-999,G147=-888,AND($AA$6="Excluded",G147&gt;=Settings!$G$2)),"",G147)</f>
        <v>1.7</v>
      </c>
      <c r="O147" s="46"/>
    </row>
    <row r="148" spans="1:15" x14ac:dyDescent="0.2">
      <c r="A148" s="1">
        <v>143</v>
      </c>
      <c r="B148" t="str">
        <f>IF(ISERROR(MATCH(TRIM('Data Table'!D145),Settings!$G$15:$G$20,0)),TRIM('Data Table'!D145),LOOKUP(TRIM('Data Table'!D145),Settings!$G$15:$G$20,Settings!$H$15:$H$20))</f>
        <v>Moore</v>
      </c>
      <c r="C148" t="str">
        <f>IF('Data Table'!F145="","SS",IF('Data Table'!F145="SF","SD",TRIM('Data Table'!F145)))</f>
        <v>SD</v>
      </c>
      <c r="D148" s="106">
        <f ca="1">IF(ISBLANK(OFFSET('Data Table'!$A143,2,Settings!$G$5-1)),"",OFFSET('Data Table'!$A143,2,Settings!$G$5-1))</f>
        <v>10</v>
      </c>
      <c r="E148" s="106" t="str">
        <f ca="1">IF(ISBLANK(OFFSET('Data Table'!$A143,2,Settings!$G$5)),"",OFFSET('Data Table'!$A143,2,Settings!$G$5))</f>
        <v/>
      </c>
      <c r="F148" s="143" t="str">
        <f ca="1">IF(ISBLANK(OFFSET('Data Table'!$A143,2,Settings!$G$5+1)),"",OFFSET('Data Table'!$A143,2,Settings!$G$5+1))</f>
        <v/>
      </c>
      <c r="G148">
        <f t="shared" ca="1" si="2"/>
        <v>10</v>
      </c>
      <c r="H148">
        <f ca="1">IF(G148=-888,"",IF(G148=-999,Settings!$G$4,IF(AND($AA$6="Excluded",G148&gt;=Settings!$G$2),"",G148)))</f>
        <v>10</v>
      </c>
      <c r="I148">
        <f ca="1">IF(OR(G148=-999,G148=-888,AND($AA$6="Excluded",G148&gt;=Settings!$G$2)),"",G148)</f>
        <v>10</v>
      </c>
      <c r="O148" s="46"/>
    </row>
    <row r="149" spans="1:15" x14ac:dyDescent="0.2">
      <c r="A149" s="1">
        <v>144</v>
      </c>
      <c r="B149" t="str">
        <f>IF(ISERROR(MATCH(TRIM('Data Table'!D146),Settings!$G$15:$G$20,0)),TRIM('Data Table'!D146),LOOKUP(TRIM('Data Table'!D146),Settings!$G$15:$G$20,Settings!$H$15:$H$20))</f>
        <v>Burke</v>
      </c>
      <c r="C149" t="str">
        <f>IF('Data Table'!F146="","SS",IF('Data Table'!F146="SF","SD",TRIM('Data Table'!F146)))</f>
        <v>SS</v>
      </c>
      <c r="D149" s="106">
        <f ca="1">IF(ISBLANK(OFFSET('Data Table'!$A144,2,Settings!$G$5-1)),"",OFFSET('Data Table'!$A144,2,Settings!$G$5-1))</f>
        <v>26</v>
      </c>
      <c r="E149" s="106" t="str">
        <f ca="1">IF(ISBLANK(OFFSET('Data Table'!$A144,2,Settings!$G$5)),"",OFFSET('Data Table'!$A144,2,Settings!$G$5))</f>
        <v/>
      </c>
      <c r="F149" s="143" t="str">
        <f ca="1">IF(ISBLANK(OFFSET('Data Table'!$A144,2,Settings!$G$5+1)),"",OFFSET('Data Table'!$A144,2,Settings!$G$5+1))</f>
        <v/>
      </c>
      <c r="G149">
        <f t="shared" ca="1" si="2"/>
        <v>26</v>
      </c>
      <c r="H149">
        <f ca="1">IF(G149=-888,"",IF(G149=-999,Settings!$G$4,IF(AND($AA$6="Excluded",G149&gt;=Settings!$G$2),"",G149)))</f>
        <v>26</v>
      </c>
      <c r="I149">
        <f ca="1">IF(OR(G149=-999,G149=-888,AND($AA$6="Excluded",G149&gt;=Settings!$G$2)),"",G149)</f>
        <v>26</v>
      </c>
      <c r="O149" s="46"/>
    </row>
    <row r="150" spans="1:15" x14ac:dyDescent="0.2">
      <c r="A150" s="1">
        <v>145</v>
      </c>
      <c r="B150" t="str">
        <f>IF(ISERROR(MATCH(TRIM('Data Table'!D147),Settings!$G$15:$G$20,0)),TRIM('Data Table'!D147),LOOKUP(TRIM('Data Table'!D147),Settings!$G$15:$G$20,Settings!$H$15:$H$20))</f>
        <v>Burke</v>
      </c>
      <c r="C150" t="str">
        <f>IF('Data Table'!F147="","SS",IF('Data Table'!F147="SF","SD",TRIM('Data Table'!F147)))</f>
        <v>SB</v>
      </c>
      <c r="D150" s="106">
        <f ca="1">IF(ISBLANK(OFFSET('Data Table'!$A145,2,Settings!$G$5-1)),"",OFFSET('Data Table'!$A145,2,Settings!$G$5-1))</f>
        <v>23</v>
      </c>
      <c r="E150" s="106" t="str">
        <f ca="1">IF(ISBLANK(OFFSET('Data Table'!$A145,2,Settings!$G$5)),"",OFFSET('Data Table'!$A145,2,Settings!$G$5))</f>
        <v/>
      </c>
      <c r="F150" s="143" t="str">
        <f ca="1">IF(ISBLANK(OFFSET('Data Table'!$A145,2,Settings!$G$5+1)),"",OFFSET('Data Table'!$A145,2,Settings!$G$5+1))</f>
        <v/>
      </c>
      <c r="G150">
        <f t="shared" ca="1" si="2"/>
        <v>23</v>
      </c>
      <c r="H150">
        <f ca="1">IF(G150=-888,"",IF(G150=-999,Settings!$G$4,IF(AND($AA$6="Excluded",G150&gt;=Settings!$G$2),"",G150)))</f>
        <v>23</v>
      </c>
      <c r="I150">
        <f ca="1">IF(OR(G150=-999,G150=-888,AND($AA$6="Excluded",G150&gt;=Settings!$G$2)),"",G150)</f>
        <v>23</v>
      </c>
      <c r="O150" s="46"/>
    </row>
    <row r="151" spans="1:15" x14ac:dyDescent="0.2">
      <c r="A151" s="1">
        <v>146</v>
      </c>
      <c r="B151" t="str">
        <f>IF(ISERROR(MATCH(TRIM('Data Table'!D148),Settings!$G$15:$G$20,0)),TRIM('Data Table'!D148),LOOKUP(TRIM('Data Table'!D148),Settings!$G$15:$G$20,Settings!$H$15:$H$20))</f>
        <v>Burke</v>
      </c>
      <c r="C151" t="str">
        <f>IF('Data Table'!F148="","SS",IF('Data Table'!F148="SF","SD",TRIM('Data Table'!F148)))</f>
        <v>SD</v>
      </c>
      <c r="D151" s="106">
        <f ca="1">IF(ISBLANK(OFFSET('Data Table'!$A146,2,Settings!$G$5-1)),"",OFFSET('Data Table'!$A146,2,Settings!$G$5-1))</f>
        <v>130</v>
      </c>
      <c r="E151" s="106" t="str">
        <f ca="1">IF(ISBLANK(OFFSET('Data Table'!$A146,2,Settings!$G$5)),"",OFFSET('Data Table'!$A146,2,Settings!$G$5))</f>
        <v/>
      </c>
      <c r="F151" s="143" t="str">
        <f ca="1">IF(ISBLANK(OFFSET('Data Table'!$A146,2,Settings!$G$5+1)),"",OFFSET('Data Table'!$A146,2,Settings!$G$5+1))</f>
        <v/>
      </c>
      <c r="G151">
        <f t="shared" ca="1" si="2"/>
        <v>130</v>
      </c>
      <c r="H151">
        <f ca="1">IF(G151=-888,"",IF(G151=-999,Settings!$G$4,IF(AND($AA$6="Excluded",G151&gt;=Settings!$G$2),"",G151)))</f>
        <v>130</v>
      </c>
      <c r="I151">
        <f ca="1">IF(OR(G151=-999,G151=-888,AND($AA$6="Excluded",G151&gt;=Settings!$G$2)),"",G151)</f>
        <v>130</v>
      </c>
      <c r="O151" s="46"/>
    </row>
    <row r="152" spans="1:15" x14ac:dyDescent="0.2">
      <c r="A152" s="1">
        <v>147</v>
      </c>
      <c r="B152" t="str">
        <f>IF(ISERROR(MATCH(TRIM('Data Table'!D149),Settings!$G$15:$G$20,0)),TRIM('Data Table'!D149),LOOKUP(TRIM('Data Table'!D149),Settings!$G$15:$G$20,Settings!$H$15:$H$20))</f>
        <v>Brunswick</v>
      </c>
      <c r="C152" t="str">
        <f>IF('Data Table'!F149="","SS",IF('Data Table'!F149="SF","SD",TRIM('Data Table'!F149)))</f>
        <v>SS</v>
      </c>
      <c r="D152" s="106" t="str">
        <f ca="1">IF(ISBLANK(OFFSET('Data Table'!$A147,2,Settings!$G$5-1)),"",OFFSET('Data Table'!$A147,2,Settings!$G$5-1))</f>
        <v/>
      </c>
      <c r="E152" s="106" t="str">
        <f ca="1">IF(ISBLANK(OFFSET('Data Table'!$A147,2,Settings!$G$5)),"",OFFSET('Data Table'!$A147,2,Settings!$G$5))</f>
        <v/>
      </c>
      <c r="F152" s="143">
        <f ca="1">IF(ISBLANK(OFFSET('Data Table'!$A147,2,Settings!$G$5+1)),"",OFFSET('Data Table'!$A147,2,Settings!$G$5+1))</f>
        <v>20</v>
      </c>
      <c r="G152">
        <f t="shared" ca="1" si="2"/>
        <v>20</v>
      </c>
      <c r="H152">
        <f ca="1">IF(G152=-888,"",IF(G152=-999,Settings!$G$4,IF(AND($AA$6="Excluded",G152&gt;=Settings!$G$2),"",G152)))</f>
        <v>20</v>
      </c>
      <c r="I152">
        <f ca="1">IF(OR(G152=-999,G152=-888,AND($AA$6="Excluded",G152&gt;=Settings!$G$2)),"",G152)</f>
        <v>20</v>
      </c>
      <c r="O152" s="46"/>
    </row>
    <row r="153" spans="1:15" x14ac:dyDescent="0.2">
      <c r="A153" s="1">
        <v>148</v>
      </c>
      <c r="B153" t="str">
        <f>IF(ISERROR(MATCH(TRIM('Data Table'!D150),Settings!$G$15:$G$20,0)),TRIM('Data Table'!D150),LOOKUP(TRIM('Data Table'!D150),Settings!$G$15:$G$20,Settings!$H$15:$H$20))</f>
        <v>Cumberland</v>
      </c>
      <c r="C153" t="str">
        <f>IF('Data Table'!F150="","SS",IF('Data Table'!F150="SF","SD",TRIM('Data Table'!F150)))</f>
        <v>SB</v>
      </c>
      <c r="D153" s="106" t="str">
        <f ca="1">IF(ISBLANK(OFFSET('Data Table'!$A148,2,Settings!$G$5-1)),"",OFFSET('Data Table'!$A148,2,Settings!$G$5-1))</f>
        <v/>
      </c>
      <c r="E153" s="106" t="str">
        <f ca="1">IF(ISBLANK(OFFSET('Data Table'!$A148,2,Settings!$G$5)),"",OFFSET('Data Table'!$A148,2,Settings!$G$5))</f>
        <v/>
      </c>
      <c r="F153" s="143">
        <f ca="1">IF(ISBLANK(OFFSET('Data Table'!$A148,2,Settings!$G$5+1)),"",OFFSET('Data Table'!$A148,2,Settings!$G$5+1))</f>
        <v>3</v>
      </c>
      <c r="G153">
        <f t="shared" ca="1" si="2"/>
        <v>3</v>
      </c>
      <c r="H153">
        <f ca="1">IF(G153=-888,"",IF(G153=-999,Settings!$G$4,IF(AND($AA$6="Excluded",G153&gt;=Settings!$G$2),"",G153)))</f>
        <v>3</v>
      </c>
      <c r="I153">
        <f ca="1">IF(OR(G153=-999,G153=-888,AND($AA$6="Excluded",G153&gt;=Settings!$G$2)),"",G153)</f>
        <v>3</v>
      </c>
      <c r="O153" s="46"/>
    </row>
    <row r="154" spans="1:15" x14ac:dyDescent="0.2">
      <c r="A154" s="1">
        <v>149</v>
      </c>
      <c r="B154" t="str">
        <f>IF(ISERROR(MATCH(TRIM('Data Table'!D151),Settings!$G$15:$G$20,0)),TRIM('Data Table'!D151),LOOKUP(TRIM('Data Table'!D151),Settings!$G$15:$G$20,Settings!$H$15:$H$20))</f>
        <v>Rowan</v>
      </c>
      <c r="C154" t="str">
        <f>IF('Data Table'!F151="","SS",IF('Data Table'!F151="SF","SD",TRIM('Data Table'!F151)))</f>
        <v>SS</v>
      </c>
      <c r="D154" s="106">
        <f ca="1">IF(ISBLANK(OFFSET('Data Table'!$A149,2,Settings!$G$5-1)),"",OFFSET('Data Table'!$A149,2,Settings!$G$5-1))</f>
        <v>18</v>
      </c>
      <c r="E154" s="106" t="str">
        <f ca="1">IF(ISBLANK(OFFSET('Data Table'!$A149,2,Settings!$G$5)),"",OFFSET('Data Table'!$A149,2,Settings!$G$5))</f>
        <v/>
      </c>
      <c r="F154" s="143" t="str">
        <f ca="1">IF(ISBLANK(OFFSET('Data Table'!$A149,2,Settings!$G$5+1)),"",OFFSET('Data Table'!$A149,2,Settings!$G$5+1))</f>
        <v/>
      </c>
      <c r="G154">
        <f t="shared" ca="1" si="2"/>
        <v>18</v>
      </c>
      <c r="H154">
        <f ca="1">IF(G154=-888,"",IF(G154=-999,Settings!$G$4,IF(AND($AA$6="Excluded",G154&gt;=Settings!$G$2),"",G154)))</f>
        <v>18</v>
      </c>
      <c r="I154">
        <f ca="1">IF(OR(G154=-999,G154=-888,AND($AA$6="Excluded",G154&gt;=Settings!$G$2)),"",G154)</f>
        <v>18</v>
      </c>
      <c r="O154" s="46"/>
    </row>
    <row r="155" spans="1:15" x14ac:dyDescent="0.2">
      <c r="A155" s="1">
        <v>150</v>
      </c>
      <c r="B155" t="str">
        <f>IF(ISERROR(MATCH(TRIM('Data Table'!D152),Settings!$G$15:$G$20,0)),TRIM('Data Table'!D152),LOOKUP(TRIM('Data Table'!D152),Settings!$G$15:$G$20,Settings!$H$15:$H$20))</f>
        <v>Rowan</v>
      </c>
      <c r="C155" t="str">
        <f>IF('Data Table'!F152="","SS",IF('Data Table'!F152="SF","SD",TRIM('Data Table'!F152)))</f>
        <v>SB</v>
      </c>
      <c r="D155" s="106">
        <f ca="1">IF(ISBLANK(OFFSET('Data Table'!$A150,2,Settings!$G$5-1)),"",OFFSET('Data Table'!$A150,2,Settings!$G$5-1))</f>
        <v>3</v>
      </c>
      <c r="E155" s="106" t="str">
        <f ca="1">IF(ISBLANK(OFFSET('Data Table'!$A150,2,Settings!$G$5)),"",OFFSET('Data Table'!$A150,2,Settings!$G$5))</f>
        <v/>
      </c>
      <c r="F155" s="143" t="str">
        <f ca="1">IF(ISBLANK(OFFSET('Data Table'!$A150,2,Settings!$G$5+1)),"",OFFSET('Data Table'!$A150,2,Settings!$G$5+1))</f>
        <v/>
      </c>
      <c r="G155">
        <f t="shared" ca="1" si="2"/>
        <v>3</v>
      </c>
      <c r="H155">
        <f ca="1">IF(G155=-888,"",IF(G155=-999,Settings!$G$4,IF(AND($AA$6="Excluded",G155&gt;=Settings!$G$2),"",G155)))</f>
        <v>3</v>
      </c>
      <c r="I155">
        <f ca="1">IF(OR(G155=-999,G155=-888,AND($AA$6="Excluded",G155&gt;=Settings!$G$2)),"",G155)</f>
        <v>3</v>
      </c>
      <c r="O155" s="46"/>
    </row>
    <row r="156" spans="1:15" x14ac:dyDescent="0.2">
      <c r="A156" s="1">
        <v>151</v>
      </c>
      <c r="B156" t="str">
        <f>IF(ISERROR(MATCH(TRIM('Data Table'!D153),Settings!$G$15:$G$20,0)),TRIM('Data Table'!D153),LOOKUP(TRIM('Data Table'!D153),Settings!$G$15:$G$20,Settings!$H$15:$H$20))</f>
        <v>Beaufort</v>
      </c>
      <c r="C156" t="str">
        <f>IF('Data Table'!F153="","SS",IF('Data Table'!F153="SF","SD",TRIM('Data Table'!F153)))</f>
        <v>SS</v>
      </c>
      <c r="D156" s="106" t="str">
        <f ca="1">IF(ISBLANK(OFFSET('Data Table'!$A151,2,Settings!$G$5-1)),"",OFFSET('Data Table'!$A151,2,Settings!$G$5-1))</f>
        <v/>
      </c>
      <c r="E156" s="106">
        <f ca="1">IF(ISBLANK(OFFSET('Data Table'!$A151,2,Settings!$G$5)),"",OFFSET('Data Table'!$A151,2,Settings!$G$5))</f>
        <v>3.5999999999999996</v>
      </c>
      <c r="F156" s="143" t="str">
        <f ca="1">IF(ISBLANK(OFFSET('Data Table'!$A151,2,Settings!$G$5+1)),"",OFFSET('Data Table'!$A151,2,Settings!$G$5+1))</f>
        <v/>
      </c>
      <c r="G156">
        <f t="shared" ca="1" si="2"/>
        <v>3.5999999999999996</v>
      </c>
      <c r="H156">
        <f ca="1">IF(G156=-888,"",IF(G156=-999,Settings!$G$4,IF(AND($AA$6="Excluded",G156&gt;=Settings!$G$2),"",G156)))</f>
        <v>3.5999999999999996</v>
      </c>
      <c r="I156">
        <f ca="1">IF(OR(G156=-999,G156=-888,AND($AA$6="Excluded",G156&gt;=Settings!$G$2)),"",G156)</f>
        <v>3.5999999999999996</v>
      </c>
      <c r="O156" s="46"/>
    </row>
    <row r="157" spans="1:15" x14ac:dyDescent="0.2">
      <c r="A157" s="1">
        <v>152</v>
      </c>
      <c r="B157" t="str">
        <f>IF(ISERROR(MATCH(TRIM('Data Table'!D154),Settings!$G$15:$G$20,0)),TRIM('Data Table'!D154),LOOKUP(TRIM('Data Table'!D154),Settings!$G$15:$G$20,Settings!$H$15:$H$20))</f>
        <v>Beaufort</v>
      </c>
      <c r="C157" t="str">
        <f>IF('Data Table'!F154="","SS",IF('Data Table'!F154="SF","SD",TRIM('Data Table'!F154)))</f>
        <v>SD</v>
      </c>
      <c r="D157" s="106">
        <f ca="1">IF(ISBLANK(OFFSET('Data Table'!$A152,2,Settings!$G$5-1)),"",OFFSET('Data Table'!$A152,2,Settings!$G$5-1))</f>
        <v>5.8</v>
      </c>
      <c r="E157" s="106" t="str">
        <f ca="1">IF(ISBLANK(OFFSET('Data Table'!$A152,2,Settings!$G$5)),"",OFFSET('Data Table'!$A152,2,Settings!$G$5))</f>
        <v/>
      </c>
      <c r="F157" s="143" t="str">
        <f ca="1">IF(ISBLANK(OFFSET('Data Table'!$A152,2,Settings!$G$5+1)),"",OFFSET('Data Table'!$A152,2,Settings!$G$5+1))</f>
        <v/>
      </c>
      <c r="G157">
        <f t="shared" ca="1" si="2"/>
        <v>5.8</v>
      </c>
      <c r="H157">
        <f ca="1">IF(G157=-888,"",IF(G157=-999,Settings!$G$4,IF(AND($AA$6="Excluded",G157&gt;=Settings!$G$2),"",G157)))</f>
        <v>5.8</v>
      </c>
      <c r="I157">
        <f ca="1">IF(OR(G157=-999,G157=-888,AND($AA$6="Excluded",G157&gt;=Settings!$G$2)),"",G157)</f>
        <v>5.8</v>
      </c>
      <c r="O157" s="46"/>
    </row>
    <row r="158" spans="1:15" x14ac:dyDescent="0.2">
      <c r="A158" s="1">
        <v>153</v>
      </c>
      <c r="B158" t="str">
        <f>IF(ISERROR(MATCH(TRIM('Data Table'!D155),Settings!$G$15:$G$20,0)),TRIM('Data Table'!D155),LOOKUP(TRIM('Data Table'!D155),Settings!$G$15:$G$20,Settings!$H$15:$H$20))</f>
        <v>Guilford</v>
      </c>
      <c r="C158" t="str">
        <f>IF('Data Table'!F155="","SS",IF('Data Table'!F155="SF","SD",TRIM('Data Table'!F155)))</f>
        <v>SS</v>
      </c>
      <c r="D158" s="106">
        <f ca="1">IF(ISBLANK(OFFSET('Data Table'!$A153,2,Settings!$G$5-1)),"",OFFSET('Data Table'!$A153,2,Settings!$G$5-1))</f>
        <v>36</v>
      </c>
      <c r="E158" s="106" t="str">
        <f ca="1">IF(ISBLANK(OFFSET('Data Table'!$A153,2,Settings!$G$5)),"",OFFSET('Data Table'!$A153,2,Settings!$G$5))</f>
        <v/>
      </c>
      <c r="F158" s="143" t="str">
        <f ca="1">IF(ISBLANK(OFFSET('Data Table'!$A153,2,Settings!$G$5+1)),"",OFFSET('Data Table'!$A153,2,Settings!$G$5+1))</f>
        <v/>
      </c>
      <c r="G158">
        <f t="shared" ca="1" si="2"/>
        <v>36</v>
      </c>
      <c r="H158">
        <f ca="1">IF(G158=-888,"",IF(G158=-999,Settings!$G$4,IF(AND($AA$6="Excluded",G158&gt;=Settings!$G$2),"",G158)))</f>
        <v>36</v>
      </c>
      <c r="I158">
        <f ca="1">IF(OR(G158=-999,G158=-888,AND($AA$6="Excluded",G158&gt;=Settings!$G$2)),"",G158)</f>
        <v>36</v>
      </c>
      <c r="O158" s="46"/>
    </row>
    <row r="159" spans="1:15" x14ac:dyDescent="0.2">
      <c r="A159" s="1">
        <v>154</v>
      </c>
      <c r="B159" t="str">
        <f>IF(ISERROR(MATCH(TRIM('Data Table'!D156),Settings!$G$15:$G$20,0)),TRIM('Data Table'!D156),LOOKUP(TRIM('Data Table'!D156),Settings!$G$15:$G$20,Settings!$H$15:$H$20))</f>
        <v>Cleveland</v>
      </c>
      <c r="C159" t="str">
        <f>IF('Data Table'!F156="","SS",IF('Data Table'!F156="SF","SD",TRIM('Data Table'!F156)))</f>
        <v>SS</v>
      </c>
      <c r="D159" s="106">
        <f ca="1">IF(ISBLANK(OFFSET('Data Table'!$A154,2,Settings!$G$5-1)),"",OFFSET('Data Table'!$A154,2,Settings!$G$5-1))</f>
        <v>20</v>
      </c>
      <c r="E159" s="106" t="str">
        <f ca="1">IF(ISBLANK(OFFSET('Data Table'!$A154,2,Settings!$G$5)),"",OFFSET('Data Table'!$A154,2,Settings!$G$5))</f>
        <v/>
      </c>
      <c r="F159" s="143" t="str">
        <f ca="1">IF(ISBLANK(OFFSET('Data Table'!$A154,2,Settings!$G$5+1)),"",OFFSET('Data Table'!$A154,2,Settings!$G$5+1))</f>
        <v/>
      </c>
      <c r="G159">
        <f t="shared" ca="1" si="2"/>
        <v>20</v>
      </c>
      <c r="H159">
        <f ca="1">IF(G159=-888,"",IF(G159=-999,Settings!$G$4,IF(AND($AA$6="Excluded",G159&gt;=Settings!$G$2),"",G159)))</f>
        <v>20</v>
      </c>
      <c r="I159">
        <f ca="1">IF(OR(G159=-999,G159=-888,AND($AA$6="Excluded",G159&gt;=Settings!$G$2)),"",G159)</f>
        <v>20</v>
      </c>
      <c r="O159" s="46"/>
    </row>
    <row r="160" spans="1:15" x14ac:dyDescent="0.2">
      <c r="A160" s="1">
        <v>155</v>
      </c>
      <c r="B160" t="str">
        <f>IF(ISERROR(MATCH(TRIM('Data Table'!D157),Settings!$G$15:$G$20,0)),TRIM('Data Table'!D157),LOOKUP(TRIM('Data Table'!D157),Settings!$G$15:$G$20,Settings!$H$15:$H$20))</f>
        <v>Scotland</v>
      </c>
      <c r="C160" t="str">
        <f>IF('Data Table'!F157="","SS",IF('Data Table'!F157="SF","SD",TRIM('Data Table'!F157)))</f>
        <v>SS</v>
      </c>
      <c r="D160" s="106">
        <f ca="1">IF(ISBLANK(OFFSET('Data Table'!$A155,2,Settings!$G$5-1)),"",OFFSET('Data Table'!$A155,2,Settings!$G$5-1))</f>
        <v>20</v>
      </c>
      <c r="E160" s="106" t="str">
        <f ca="1">IF(ISBLANK(OFFSET('Data Table'!$A155,2,Settings!$G$5)),"",OFFSET('Data Table'!$A155,2,Settings!$G$5))</f>
        <v/>
      </c>
      <c r="F160" s="143" t="str">
        <f ca="1">IF(ISBLANK(OFFSET('Data Table'!$A155,2,Settings!$G$5+1)),"",OFFSET('Data Table'!$A155,2,Settings!$G$5+1))</f>
        <v/>
      </c>
      <c r="G160">
        <f t="shared" ca="1" si="2"/>
        <v>20</v>
      </c>
      <c r="H160">
        <f ca="1">IF(G160=-888,"",IF(G160=-999,Settings!$G$4,IF(AND($AA$6="Excluded",G160&gt;=Settings!$G$2),"",G160)))</f>
        <v>20</v>
      </c>
      <c r="I160">
        <f ca="1">IF(OR(G160=-999,G160=-888,AND($AA$6="Excluded",G160&gt;=Settings!$G$2)),"",G160)</f>
        <v>20</v>
      </c>
      <c r="O160" s="46"/>
    </row>
    <row r="161" spans="1:15" x14ac:dyDescent="0.2">
      <c r="A161" s="1">
        <v>156</v>
      </c>
      <c r="B161" t="str">
        <f>IF(ISERROR(MATCH(TRIM('Data Table'!D158),Settings!$G$15:$G$20,0)),TRIM('Data Table'!D158),LOOKUP(TRIM('Data Table'!D158),Settings!$G$15:$G$20,Settings!$H$15:$H$20))</f>
        <v>Scotland</v>
      </c>
      <c r="C161" t="str">
        <f>IF('Data Table'!F158="","SS",IF('Data Table'!F158="SF","SD",TRIM('Data Table'!F158)))</f>
        <v>SD</v>
      </c>
      <c r="D161" s="106">
        <f ca="1">IF(ISBLANK(OFFSET('Data Table'!$A156,2,Settings!$G$5-1)),"",OFFSET('Data Table'!$A156,2,Settings!$G$5-1))</f>
        <v>6.6</v>
      </c>
      <c r="E161" s="106" t="str">
        <f ca="1">IF(ISBLANK(OFFSET('Data Table'!$A156,2,Settings!$G$5)),"",OFFSET('Data Table'!$A156,2,Settings!$G$5))</f>
        <v/>
      </c>
      <c r="F161" s="143" t="str">
        <f ca="1">IF(ISBLANK(OFFSET('Data Table'!$A156,2,Settings!$G$5+1)),"",OFFSET('Data Table'!$A156,2,Settings!$G$5+1))</f>
        <v/>
      </c>
      <c r="G161">
        <f t="shared" ca="1" si="2"/>
        <v>6.6</v>
      </c>
      <c r="H161">
        <f ca="1">IF(G161=-888,"",IF(G161=-999,Settings!$G$4,IF(AND($AA$6="Excluded",G161&gt;=Settings!$G$2),"",G161)))</f>
        <v>6.6</v>
      </c>
      <c r="I161">
        <f ca="1">IF(OR(G161=-999,G161=-888,AND($AA$6="Excluded",G161&gt;=Settings!$G$2)),"",G161)</f>
        <v>6.6</v>
      </c>
      <c r="O161" s="46"/>
    </row>
    <row r="162" spans="1:15" x14ac:dyDescent="0.2">
      <c r="A162" s="1">
        <v>157</v>
      </c>
      <c r="B162" t="str">
        <f>IF(ISERROR(MATCH(TRIM('Data Table'!D159),Settings!$G$15:$G$20,0)),TRIM('Data Table'!D159),LOOKUP(TRIM('Data Table'!D159),Settings!$G$15:$G$20,Settings!$H$15:$H$20))</f>
        <v>Scotland</v>
      </c>
      <c r="C162" t="str">
        <f>IF('Data Table'!F159="","SS",IF('Data Table'!F159="SF","SD",TRIM('Data Table'!F159)))</f>
        <v>SS</v>
      </c>
      <c r="D162" s="106" t="str">
        <f ca="1">IF(ISBLANK(OFFSET('Data Table'!$A157,2,Settings!$G$5-1)),"",OFFSET('Data Table'!$A157,2,Settings!$G$5-1))</f>
        <v/>
      </c>
      <c r="E162" s="106">
        <f ca="1">IF(ISBLANK(OFFSET('Data Table'!$A157,2,Settings!$G$5)),"",OFFSET('Data Table'!$A157,2,Settings!$G$5))</f>
        <v>23.04</v>
      </c>
      <c r="F162" s="143" t="str">
        <f ca="1">IF(ISBLANK(OFFSET('Data Table'!$A157,2,Settings!$G$5+1)),"",OFFSET('Data Table'!$A157,2,Settings!$G$5+1))</f>
        <v/>
      </c>
      <c r="G162">
        <f t="shared" ca="1" si="2"/>
        <v>23.04</v>
      </c>
      <c r="H162">
        <f ca="1">IF(G162=-888,"",IF(G162=-999,Settings!$G$4,IF(AND($AA$6="Excluded",G162&gt;=Settings!$G$2),"",G162)))</f>
        <v>23.04</v>
      </c>
      <c r="I162">
        <f ca="1">IF(OR(G162=-999,G162=-888,AND($AA$6="Excluded",G162&gt;=Settings!$G$2)),"",G162)</f>
        <v>23.04</v>
      </c>
      <c r="O162" s="46"/>
    </row>
    <row r="163" spans="1:15" x14ac:dyDescent="0.2">
      <c r="A163" s="1">
        <v>158</v>
      </c>
      <c r="B163" t="str">
        <f>IF(ISERROR(MATCH(TRIM('Data Table'!D160),Settings!$G$15:$G$20,0)),TRIM('Data Table'!D160),LOOKUP(TRIM('Data Table'!D160),Settings!$G$15:$G$20,Settings!$H$15:$H$20))</f>
        <v>Scotland</v>
      </c>
      <c r="C163" t="str">
        <f>IF('Data Table'!F160="","SS",IF('Data Table'!F160="SF","SD",TRIM('Data Table'!F160)))</f>
        <v>SB</v>
      </c>
      <c r="D163" s="106" t="str">
        <f ca="1">IF(ISBLANK(OFFSET('Data Table'!$A158,2,Settings!$G$5-1)),"",OFFSET('Data Table'!$A158,2,Settings!$G$5-1))</f>
        <v/>
      </c>
      <c r="E163" s="106">
        <f ca="1">IF(ISBLANK(OFFSET('Data Table'!$A158,2,Settings!$G$5)),"",OFFSET('Data Table'!$A158,2,Settings!$G$5))</f>
        <v>4.4639999999999995</v>
      </c>
      <c r="F163" s="143" t="str">
        <f ca="1">IF(ISBLANK(OFFSET('Data Table'!$A158,2,Settings!$G$5+1)),"",OFFSET('Data Table'!$A158,2,Settings!$G$5+1))</f>
        <v/>
      </c>
      <c r="G163">
        <f t="shared" ca="1" si="2"/>
        <v>4.4639999999999995</v>
      </c>
      <c r="H163">
        <f ca="1">IF(G163=-888,"",IF(G163=-999,Settings!$G$4,IF(AND($AA$6="Excluded",G163&gt;=Settings!$G$2),"",G163)))</f>
        <v>4.4639999999999995</v>
      </c>
      <c r="I163">
        <f ca="1">IF(OR(G163=-999,G163=-888,AND($AA$6="Excluded",G163&gt;=Settings!$G$2)),"",G163)</f>
        <v>4.4639999999999995</v>
      </c>
      <c r="O163" s="46"/>
    </row>
    <row r="164" spans="1:15" x14ac:dyDescent="0.2">
      <c r="A164" s="1">
        <v>159</v>
      </c>
      <c r="B164" t="str">
        <f>IF(ISERROR(MATCH(TRIM('Data Table'!D161),Settings!$G$15:$G$20,0)),TRIM('Data Table'!D161),LOOKUP(TRIM('Data Table'!D161),Settings!$G$15:$G$20,Settings!$H$15:$H$20))</f>
        <v>Surry</v>
      </c>
      <c r="C164" t="str">
        <f>IF('Data Table'!F161="","SS",IF('Data Table'!F161="SF","SD",TRIM('Data Table'!F161)))</f>
        <v>SD</v>
      </c>
      <c r="D164" s="106">
        <f ca="1">IF(ISBLANK(OFFSET('Data Table'!$A159,2,Settings!$G$5-1)),"",OFFSET('Data Table'!$A159,2,Settings!$G$5-1))</f>
        <v>20</v>
      </c>
      <c r="E164" s="106" t="str">
        <f ca="1">IF(ISBLANK(OFFSET('Data Table'!$A159,2,Settings!$G$5)),"",OFFSET('Data Table'!$A159,2,Settings!$G$5))</f>
        <v/>
      </c>
      <c r="F164" s="143" t="str">
        <f ca="1">IF(ISBLANK(OFFSET('Data Table'!$A159,2,Settings!$G$5+1)),"",OFFSET('Data Table'!$A159,2,Settings!$G$5+1))</f>
        <v/>
      </c>
      <c r="G164">
        <f t="shared" ca="1" si="2"/>
        <v>20</v>
      </c>
      <c r="H164">
        <f ca="1">IF(G164=-888,"",IF(G164=-999,Settings!$G$4,IF(AND($AA$6="Excluded",G164&gt;=Settings!$G$2),"",G164)))</f>
        <v>20</v>
      </c>
      <c r="I164">
        <f ca="1">IF(OR(G164=-999,G164=-888,AND($AA$6="Excluded",G164&gt;=Settings!$G$2)),"",G164)</f>
        <v>20</v>
      </c>
      <c r="O164" s="46"/>
    </row>
    <row r="165" spans="1:15" x14ac:dyDescent="0.2">
      <c r="A165" s="1">
        <v>160</v>
      </c>
      <c r="B165" t="str">
        <f>IF(ISERROR(MATCH(TRIM('Data Table'!D162),Settings!$G$15:$G$20,0)),TRIM('Data Table'!D162),LOOKUP(TRIM('Data Table'!D162),Settings!$G$15:$G$20,Settings!$H$15:$H$20))</f>
        <v>Mecklenburg</v>
      </c>
      <c r="C165" t="str">
        <f>IF('Data Table'!F162="","SS",IF('Data Table'!F162="SF","SD",TRIM('Data Table'!F162)))</f>
        <v>SS</v>
      </c>
      <c r="D165" s="106" t="str">
        <f ca="1">IF(ISBLANK(OFFSET('Data Table'!$A160,2,Settings!$G$5-1)),"",OFFSET('Data Table'!$A160,2,Settings!$G$5-1))</f>
        <v/>
      </c>
      <c r="E165" s="106" t="str">
        <f ca="1">IF(ISBLANK(OFFSET('Data Table'!$A160,2,Settings!$G$5)),"",OFFSET('Data Table'!$A160,2,Settings!$G$5))</f>
        <v/>
      </c>
      <c r="F165" s="143">
        <f ca="1">IF(ISBLANK(OFFSET('Data Table'!$A160,2,Settings!$G$5+1)),"",OFFSET('Data Table'!$A160,2,Settings!$G$5+1))</f>
        <v>20</v>
      </c>
      <c r="G165">
        <f t="shared" ca="1" si="2"/>
        <v>20</v>
      </c>
      <c r="H165">
        <f ca="1">IF(G165=-888,"",IF(G165=-999,Settings!$G$4,IF(AND($AA$6="Excluded",G165&gt;=Settings!$G$2),"",G165)))</f>
        <v>20</v>
      </c>
      <c r="I165">
        <f ca="1">IF(OR(G165=-999,G165=-888,AND($AA$6="Excluded",G165&gt;=Settings!$G$2)),"",G165)</f>
        <v>20</v>
      </c>
      <c r="O165" s="46"/>
    </row>
    <row r="166" spans="1:15" x14ac:dyDescent="0.2">
      <c r="A166" s="1">
        <v>161</v>
      </c>
      <c r="B166" t="str">
        <f>IF(ISERROR(MATCH(TRIM('Data Table'!D163),Settings!$G$15:$G$20,0)),TRIM('Data Table'!D163),LOOKUP(TRIM('Data Table'!D163),Settings!$G$15:$G$20,Settings!$H$15:$H$20))</f>
        <v>Mecklenburg</v>
      </c>
      <c r="C166" t="str">
        <f>IF('Data Table'!F163="","SS",IF('Data Table'!F163="SF","SD",TRIM('Data Table'!F163)))</f>
        <v>SS</v>
      </c>
      <c r="D166" s="106">
        <f ca="1">IF(ISBLANK(OFFSET('Data Table'!$A161,2,Settings!$G$5-1)),"",OFFSET('Data Table'!$A161,2,Settings!$G$5-1))</f>
        <v>113</v>
      </c>
      <c r="E166" s="106" t="str">
        <f ca="1">IF(ISBLANK(OFFSET('Data Table'!$A161,2,Settings!$G$5)),"",OFFSET('Data Table'!$A161,2,Settings!$G$5))</f>
        <v/>
      </c>
      <c r="F166" s="143" t="str">
        <f ca="1">IF(ISBLANK(OFFSET('Data Table'!$A161,2,Settings!$G$5+1)),"",OFFSET('Data Table'!$A161,2,Settings!$G$5+1))</f>
        <v/>
      </c>
      <c r="G166">
        <f t="shared" ca="1" si="2"/>
        <v>113</v>
      </c>
      <c r="H166">
        <f ca="1">IF(G166=-888,"",IF(G166=-999,Settings!$G$4,IF(AND($AA$6="Excluded",G166&gt;=Settings!$G$2),"",G166)))</f>
        <v>113</v>
      </c>
      <c r="I166">
        <f ca="1">IF(OR(G166=-999,G166=-888,AND($AA$6="Excluded",G166&gt;=Settings!$G$2)),"",G166)</f>
        <v>113</v>
      </c>
      <c r="O166" s="46"/>
    </row>
    <row r="167" spans="1:15" x14ac:dyDescent="0.2">
      <c r="A167" s="1">
        <v>162</v>
      </c>
      <c r="B167" t="str">
        <f>IF(ISERROR(MATCH(TRIM('Data Table'!D164),Settings!$G$15:$G$20,0)),TRIM('Data Table'!D164),LOOKUP(TRIM('Data Table'!D164),Settings!$G$15:$G$20,Settings!$H$15:$H$20))</f>
        <v>Guilford</v>
      </c>
      <c r="C167" t="str">
        <f>IF('Data Table'!F164="","SS",IF('Data Table'!F164="SF","SD",TRIM('Data Table'!F164)))</f>
        <v>SS</v>
      </c>
      <c r="D167" s="106">
        <f ca="1">IF(ISBLANK(OFFSET('Data Table'!$A162,2,Settings!$G$5-1)),"",OFFSET('Data Table'!$A162,2,Settings!$G$5-1))</f>
        <v>14</v>
      </c>
      <c r="E167" s="106" t="str">
        <f ca="1">IF(ISBLANK(OFFSET('Data Table'!$A162,2,Settings!$G$5)),"",OFFSET('Data Table'!$A162,2,Settings!$G$5))</f>
        <v/>
      </c>
      <c r="F167" s="143" t="str">
        <f ca="1">IF(ISBLANK(OFFSET('Data Table'!$A162,2,Settings!$G$5+1)),"",OFFSET('Data Table'!$A162,2,Settings!$G$5+1))</f>
        <v/>
      </c>
      <c r="G167">
        <f t="shared" ca="1" si="2"/>
        <v>14</v>
      </c>
      <c r="H167">
        <f ca="1">IF(G167=-888,"",IF(G167=-999,Settings!$G$4,IF(AND($AA$6="Excluded",G167&gt;=Settings!$G$2),"",G167)))</f>
        <v>14</v>
      </c>
      <c r="I167">
        <f ca="1">IF(OR(G167=-999,G167=-888,AND($AA$6="Excluded",G167&gt;=Settings!$G$2)),"",G167)</f>
        <v>14</v>
      </c>
      <c r="O167" s="46"/>
    </row>
    <row r="168" spans="1:15" x14ac:dyDescent="0.2">
      <c r="A168" s="1">
        <v>163</v>
      </c>
      <c r="B168" t="str">
        <f>IF(ISERROR(MATCH(TRIM('Data Table'!D165),Settings!$G$15:$G$20,0)),TRIM('Data Table'!D165),LOOKUP(TRIM('Data Table'!D165),Settings!$G$15:$G$20,Settings!$H$15:$H$20))</f>
        <v>Cumberland</v>
      </c>
      <c r="C168" t="str">
        <f>IF('Data Table'!F165="","SS",IF('Data Table'!F165="SF","SD",TRIM('Data Table'!F165)))</f>
        <v>SS</v>
      </c>
      <c r="D168" s="106">
        <f ca="1">IF(ISBLANK(OFFSET('Data Table'!$A163,2,Settings!$G$5-1)),"",OFFSET('Data Table'!$A163,2,Settings!$G$5-1))</f>
        <v>120</v>
      </c>
      <c r="E168" s="106" t="str">
        <f ca="1">IF(ISBLANK(OFFSET('Data Table'!$A163,2,Settings!$G$5)),"",OFFSET('Data Table'!$A163,2,Settings!$G$5))</f>
        <v/>
      </c>
      <c r="F168" s="143" t="str">
        <f ca="1">IF(ISBLANK(OFFSET('Data Table'!$A163,2,Settings!$G$5+1)),"",OFFSET('Data Table'!$A163,2,Settings!$G$5+1))</f>
        <v/>
      </c>
      <c r="G168">
        <f t="shared" ca="1" si="2"/>
        <v>120</v>
      </c>
      <c r="H168">
        <f ca="1">IF(G168=-888,"",IF(G168=-999,Settings!$G$4,IF(AND($AA$6="Excluded",G168&gt;=Settings!$G$2),"",G168)))</f>
        <v>120</v>
      </c>
      <c r="I168">
        <f ca="1">IF(OR(G168=-999,G168=-888,AND($AA$6="Excluded",G168&gt;=Settings!$G$2)),"",G168)</f>
        <v>120</v>
      </c>
      <c r="O168" s="46"/>
    </row>
    <row r="169" spans="1:15" x14ac:dyDescent="0.2">
      <c r="A169" s="1">
        <v>164</v>
      </c>
      <c r="B169" t="str">
        <f>IF(ISERROR(MATCH(TRIM('Data Table'!D166),Settings!$G$15:$G$20,0)),TRIM('Data Table'!D166),LOOKUP(TRIM('Data Table'!D166),Settings!$G$15:$G$20,Settings!$H$15:$H$20))</f>
        <v>Surry</v>
      </c>
      <c r="C169" t="str">
        <f>IF('Data Table'!F166="","SS",IF('Data Table'!F166="SF","SD",TRIM('Data Table'!F166)))</f>
        <v>SS</v>
      </c>
      <c r="D169" s="106" t="str">
        <f ca="1">IF(ISBLANK(OFFSET('Data Table'!$A164,2,Settings!$G$5-1)),"",OFFSET('Data Table'!$A164,2,Settings!$G$5-1))</f>
        <v/>
      </c>
      <c r="E169" s="106">
        <f ca="1">IF(ISBLANK(OFFSET('Data Table'!$A164,2,Settings!$G$5)),"",OFFSET('Data Table'!$A164,2,Settings!$G$5))</f>
        <v>24.767999999999997</v>
      </c>
      <c r="F169" s="143" t="str">
        <f ca="1">IF(ISBLANK(OFFSET('Data Table'!$A164,2,Settings!$G$5+1)),"",OFFSET('Data Table'!$A164,2,Settings!$G$5+1))</f>
        <v/>
      </c>
      <c r="G169">
        <f t="shared" ca="1" si="2"/>
        <v>24.767999999999997</v>
      </c>
      <c r="H169">
        <f ca="1">IF(G169=-888,"",IF(G169=-999,Settings!$G$4,IF(AND($AA$6="Excluded",G169&gt;=Settings!$G$2),"",G169)))</f>
        <v>24.767999999999997</v>
      </c>
      <c r="I169">
        <f ca="1">IF(OR(G169=-999,G169=-888,AND($AA$6="Excluded",G169&gt;=Settings!$G$2)),"",G169)</f>
        <v>24.767999999999997</v>
      </c>
      <c r="O169" s="46"/>
    </row>
    <row r="170" spans="1:15" x14ac:dyDescent="0.2">
      <c r="A170" s="1">
        <v>165</v>
      </c>
      <c r="B170" t="str">
        <f>IF(ISERROR(MATCH(TRIM('Data Table'!D167),Settings!$G$15:$G$20,0)),TRIM('Data Table'!D167),LOOKUP(TRIM('Data Table'!D167),Settings!$G$15:$G$20,Settings!$H$15:$H$20))</f>
        <v>Scotland</v>
      </c>
      <c r="C170" t="str">
        <f>IF('Data Table'!F167="","SS",IF('Data Table'!F167="SF","SD",TRIM('Data Table'!F167)))</f>
        <v>SS</v>
      </c>
      <c r="D170" s="106" t="str">
        <f ca="1">IF(ISBLANK(OFFSET('Data Table'!$A165,2,Settings!$G$5-1)),"",OFFSET('Data Table'!$A165,2,Settings!$G$5-1))</f>
        <v/>
      </c>
      <c r="E170" s="106">
        <f ca="1">IF(ISBLANK(OFFSET('Data Table'!$A165,2,Settings!$G$5)),"",OFFSET('Data Table'!$A165,2,Settings!$G$5))</f>
        <v>13.536</v>
      </c>
      <c r="F170" s="143" t="str">
        <f ca="1">IF(ISBLANK(OFFSET('Data Table'!$A165,2,Settings!$G$5+1)),"",OFFSET('Data Table'!$A165,2,Settings!$G$5+1))</f>
        <v/>
      </c>
      <c r="G170">
        <f t="shared" ca="1" si="2"/>
        <v>13.536</v>
      </c>
      <c r="H170">
        <f ca="1">IF(G170=-888,"",IF(G170=-999,Settings!$G$4,IF(AND($AA$6="Excluded",G170&gt;=Settings!$G$2),"",G170)))</f>
        <v>13.536</v>
      </c>
      <c r="I170">
        <f ca="1">IF(OR(G170=-999,G170=-888,AND($AA$6="Excluded",G170&gt;=Settings!$G$2)),"",G170)</f>
        <v>13.536</v>
      </c>
      <c r="O170" s="46"/>
    </row>
    <row r="171" spans="1:15" x14ac:dyDescent="0.2">
      <c r="A171" s="1">
        <v>166</v>
      </c>
      <c r="B171" t="str">
        <f>IF(ISERROR(MATCH(TRIM('Data Table'!D168),Settings!$G$15:$G$20,0)),TRIM('Data Table'!D168),LOOKUP(TRIM('Data Table'!D168),Settings!$G$15:$G$20,Settings!$H$15:$H$20))</f>
        <v>Scotland</v>
      </c>
      <c r="C171" t="str">
        <f>IF('Data Table'!F168="","SS",IF('Data Table'!F168="SF","SD",TRIM('Data Table'!F168)))</f>
        <v>SB</v>
      </c>
      <c r="D171" s="106" t="str">
        <f ca="1">IF(ISBLANK(OFFSET('Data Table'!$A166,2,Settings!$G$5-1)),"",OFFSET('Data Table'!$A166,2,Settings!$G$5-1))</f>
        <v/>
      </c>
      <c r="E171" s="106">
        <f ca="1">IF(ISBLANK(OFFSET('Data Table'!$A166,2,Settings!$G$5)),"",OFFSET('Data Table'!$A166,2,Settings!$G$5))</f>
        <v>9.5039999999999996</v>
      </c>
      <c r="F171" s="143" t="str">
        <f ca="1">IF(ISBLANK(OFFSET('Data Table'!$A166,2,Settings!$G$5+1)),"",OFFSET('Data Table'!$A166,2,Settings!$G$5+1))</f>
        <v/>
      </c>
      <c r="G171">
        <f t="shared" ca="1" si="2"/>
        <v>9.5039999999999996</v>
      </c>
      <c r="H171">
        <f ca="1">IF(G171=-888,"",IF(G171=-999,Settings!$G$4,IF(AND($AA$6="Excluded",G171&gt;=Settings!$G$2),"",G171)))</f>
        <v>9.5039999999999996</v>
      </c>
      <c r="I171">
        <f ca="1">IF(OR(G171=-999,G171=-888,AND($AA$6="Excluded",G171&gt;=Settings!$G$2)),"",G171)</f>
        <v>9.5039999999999996</v>
      </c>
      <c r="O171" s="46"/>
    </row>
    <row r="172" spans="1:15" x14ac:dyDescent="0.2">
      <c r="A172" s="1">
        <v>167</v>
      </c>
      <c r="B172" t="str">
        <f>IF(ISERROR(MATCH(TRIM('Data Table'!D169),Settings!$G$15:$G$20,0)),TRIM('Data Table'!D169),LOOKUP(TRIM('Data Table'!D169),Settings!$G$15:$G$20,Settings!$H$15:$H$20))</f>
        <v>Scotland</v>
      </c>
      <c r="C172" t="str">
        <f>IF('Data Table'!F169="","SS",IF('Data Table'!F169="SF","SD",TRIM('Data Table'!F169)))</f>
        <v>SD</v>
      </c>
      <c r="D172" s="106" t="str">
        <f ca="1">IF(ISBLANK(OFFSET('Data Table'!$A167,2,Settings!$G$5-1)),"",OFFSET('Data Table'!$A167,2,Settings!$G$5-1))</f>
        <v/>
      </c>
      <c r="E172" s="106">
        <f ca="1">IF(ISBLANK(OFFSET('Data Table'!$A167,2,Settings!$G$5)),"",OFFSET('Data Table'!$A167,2,Settings!$G$5))</f>
        <v>13.967999999999998</v>
      </c>
      <c r="F172" s="143" t="str">
        <f ca="1">IF(ISBLANK(OFFSET('Data Table'!$A167,2,Settings!$G$5+1)),"",OFFSET('Data Table'!$A167,2,Settings!$G$5+1))</f>
        <v/>
      </c>
      <c r="G172">
        <f t="shared" ca="1" si="2"/>
        <v>13.967999999999998</v>
      </c>
      <c r="H172">
        <f ca="1">IF(G172=-888,"",IF(G172=-999,Settings!$G$4,IF(AND($AA$6="Excluded",G172&gt;=Settings!$G$2),"",G172)))</f>
        <v>13.967999999999998</v>
      </c>
      <c r="I172">
        <f ca="1">IF(OR(G172=-999,G172=-888,AND($AA$6="Excluded",G172&gt;=Settings!$G$2)),"",G172)</f>
        <v>13.967999999999998</v>
      </c>
      <c r="O172" s="46"/>
    </row>
    <row r="173" spans="1:15" x14ac:dyDescent="0.2">
      <c r="A173" s="1">
        <v>168</v>
      </c>
      <c r="B173" t="str">
        <f>IF(ISERROR(MATCH(TRIM('Data Table'!D170),Settings!$G$15:$G$20,0)),TRIM('Data Table'!D170),LOOKUP(TRIM('Data Table'!D170),Settings!$G$15:$G$20,Settings!$H$15:$H$20))</f>
        <v>Halifax</v>
      </c>
      <c r="C173" t="str">
        <f>IF('Data Table'!F170="","SS",IF('Data Table'!F170="SF","SD",TRIM('Data Table'!F170)))</f>
        <v>SS</v>
      </c>
      <c r="D173" s="106">
        <f ca="1">IF(ISBLANK(OFFSET('Data Table'!$A168,2,Settings!$G$5-1)),"",OFFSET('Data Table'!$A168,2,Settings!$G$5-1))</f>
        <v>230</v>
      </c>
      <c r="E173" s="106" t="str">
        <f ca="1">IF(ISBLANK(OFFSET('Data Table'!$A168,2,Settings!$G$5)),"",OFFSET('Data Table'!$A168,2,Settings!$G$5))</f>
        <v/>
      </c>
      <c r="F173" s="143" t="str">
        <f ca="1">IF(ISBLANK(OFFSET('Data Table'!$A168,2,Settings!$G$5+1)),"",OFFSET('Data Table'!$A168,2,Settings!$G$5+1))</f>
        <v/>
      </c>
      <c r="G173">
        <f t="shared" ca="1" si="2"/>
        <v>230</v>
      </c>
      <c r="H173">
        <f ca="1">IF(G173=-888,"",IF(G173=-999,Settings!$G$4,IF(AND($AA$6="Excluded",G173&gt;=Settings!$G$2),"",G173)))</f>
        <v>230</v>
      </c>
      <c r="I173">
        <f ca="1">IF(OR(G173=-999,G173=-888,AND($AA$6="Excluded",G173&gt;=Settings!$G$2)),"",G173)</f>
        <v>230</v>
      </c>
      <c r="O173" s="46"/>
    </row>
    <row r="174" spans="1:15" x14ac:dyDescent="0.2">
      <c r="A174" s="1">
        <v>169</v>
      </c>
      <c r="B174" t="str">
        <f>IF(ISERROR(MATCH(TRIM('Data Table'!D171),Settings!$G$15:$G$20,0)),TRIM('Data Table'!D171),LOOKUP(TRIM('Data Table'!D171),Settings!$G$15:$G$20,Settings!$H$15:$H$20))</f>
        <v>Rowan</v>
      </c>
      <c r="C174" t="str">
        <f>IF('Data Table'!F171="","SS",IF('Data Table'!F171="SF","SD",TRIM('Data Table'!F171)))</f>
        <v>SS</v>
      </c>
      <c r="D174" s="106">
        <f ca="1">IF(ISBLANK(OFFSET('Data Table'!$A169,2,Settings!$G$5-1)),"",OFFSET('Data Table'!$A169,2,Settings!$G$5-1))</f>
        <v>39700</v>
      </c>
      <c r="E174" s="106" t="str">
        <f ca="1">IF(ISBLANK(OFFSET('Data Table'!$A169,2,Settings!$G$5)),"",OFFSET('Data Table'!$A169,2,Settings!$G$5))</f>
        <v/>
      </c>
      <c r="F174" s="143" t="str">
        <f ca="1">IF(ISBLANK(OFFSET('Data Table'!$A169,2,Settings!$G$5+1)),"",OFFSET('Data Table'!$A169,2,Settings!$G$5+1))</f>
        <v/>
      </c>
      <c r="G174">
        <f t="shared" ca="1" si="2"/>
        <v>39700</v>
      </c>
      <c r="H174" t="str">
        <f ca="1">IF(G174=-888,"",IF(G174=-999,Settings!$G$4,IF(AND($AA$6="Excluded",G174&gt;=Settings!$G$2),"",G174)))</f>
        <v/>
      </c>
      <c r="I174" t="str">
        <f ca="1">IF(OR(G174=-999,G174=-888,AND($AA$6="Excluded",G174&gt;=Settings!$G$2)),"",G174)</f>
        <v/>
      </c>
      <c r="O174" s="46"/>
    </row>
    <row r="175" spans="1:15" x14ac:dyDescent="0.2">
      <c r="A175" s="1">
        <v>170</v>
      </c>
      <c r="B175" t="str">
        <f>IF(ISERROR(MATCH(TRIM('Data Table'!D172),Settings!$G$15:$G$20,0)),TRIM('Data Table'!D172),LOOKUP(TRIM('Data Table'!D172),Settings!$G$15:$G$20,Settings!$H$15:$H$20))</f>
        <v>Rowan</v>
      </c>
      <c r="C175" t="str">
        <f>IF('Data Table'!F172="","SS",IF('Data Table'!F172="SF","SD",TRIM('Data Table'!F172)))</f>
        <v>SB</v>
      </c>
      <c r="D175" s="106">
        <f ca="1">IF(ISBLANK(OFFSET('Data Table'!$A170,2,Settings!$G$5-1)),"",OFFSET('Data Table'!$A170,2,Settings!$G$5-1))</f>
        <v>70</v>
      </c>
      <c r="E175" s="106" t="str">
        <f ca="1">IF(ISBLANK(OFFSET('Data Table'!$A170,2,Settings!$G$5)),"",OFFSET('Data Table'!$A170,2,Settings!$G$5))</f>
        <v/>
      </c>
      <c r="F175" s="143" t="str">
        <f ca="1">IF(ISBLANK(OFFSET('Data Table'!$A170,2,Settings!$G$5+1)),"",OFFSET('Data Table'!$A170,2,Settings!$G$5+1))</f>
        <v/>
      </c>
      <c r="G175">
        <f t="shared" ca="1" si="2"/>
        <v>70</v>
      </c>
      <c r="H175">
        <f ca="1">IF(G175=-888,"",IF(G175=-999,Settings!$G$4,IF(AND($AA$6="Excluded",G175&gt;=Settings!$G$2),"",G175)))</f>
        <v>70</v>
      </c>
      <c r="I175">
        <f ca="1">IF(OR(G175=-999,G175=-888,AND($AA$6="Excluded",G175&gt;=Settings!$G$2)),"",G175)</f>
        <v>70</v>
      </c>
      <c r="O175" s="46"/>
    </row>
    <row r="176" spans="1:15" x14ac:dyDescent="0.2">
      <c r="A176" s="1">
        <v>171</v>
      </c>
      <c r="B176" t="str">
        <f>IF(ISERROR(MATCH(TRIM('Data Table'!D173),Settings!$G$15:$G$20,0)),TRIM('Data Table'!D173),LOOKUP(TRIM('Data Table'!D173),Settings!$G$15:$G$20,Settings!$H$15:$H$20))</f>
        <v>Rowan</v>
      </c>
      <c r="C176" t="str">
        <f>IF('Data Table'!F173="","SS",IF('Data Table'!F173="SF","SD",TRIM('Data Table'!F173)))</f>
        <v>SS</v>
      </c>
      <c r="D176" s="106">
        <f ca="1">IF(ISBLANK(OFFSET('Data Table'!$A171,2,Settings!$G$5-1)),"",OFFSET('Data Table'!$A171,2,Settings!$G$5-1))</f>
        <v>250</v>
      </c>
      <c r="E176" s="106" t="str">
        <f ca="1">IF(ISBLANK(OFFSET('Data Table'!$A171,2,Settings!$G$5)),"",OFFSET('Data Table'!$A171,2,Settings!$G$5))</f>
        <v/>
      </c>
      <c r="F176" s="143" t="str">
        <f ca="1">IF(ISBLANK(OFFSET('Data Table'!$A171,2,Settings!$G$5+1)),"",OFFSET('Data Table'!$A171,2,Settings!$G$5+1))</f>
        <v/>
      </c>
      <c r="G176">
        <f t="shared" ca="1" si="2"/>
        <v>250</v>
      </c>
      <c r="H176">
        <f ca="1">IF(G176=-888,"",IF(G176=-999,Settings!$G$4,IF(AND($AA$6="Excluded",G176&gt;=Settings!$G$2),"",G176)))</f>
        <v>250</v>
      </c>
      <c r="I176">
        <f ca="1">IF(OR(G176=-999,G176=-888,AND($AA$6="Excluded",G176&gt;=Settings!$G$2)),"",G176)</f>
        <v>250</v>
      </c>
      <c r="O176" s="46"/>
    </row>
    <row r="177" spans="1:15" x14ac:dyDescent="0.2">
      <c r="A177" s="1">
        <v>172</v>
      </c>
      <c r="B177" t="str">
        <f>IF(ISERROR(MATCH(TRIM('Data Table'!D174),Settings!$G$15:$G$20,0)),TRIM('Data Table'!D174),LOOKUP(TRIM('Data Table'!D174),Settings!$G$15:$G$20,Settings!$H$15:$H$20))</f>
        <v>Rowan</v>
      </c>
      <c r="C177" t="str">
        <f>IF('Data Table'!F174="","SS",IF('Data Table'!F174="SF","SD",TRIM('Data Table'!F174)))</f>
        <v>SB</v>
      </c>
      <c r="D177" s="106">
        <f ca="1">IF(ISBLANK(OFFSET('Data Table'!$A172,2,Settings!$G$5-1)),"",OFFSET('Data Table'!$A172,2,Settings!$G$5-1))</f>
        <v>30</v>
      </c>
      <c r="E177" s="106" t="str">
        <f ca="1">IF(ISBLANK(OFFSET('Data Table'!$A172,2,Settings!$G$5)),"",OFFSET('Data Table'!$A172,2,Settings!$G$5))</f>
        <v/>
      </c>
      <c r="F177" s="143" t="str">
        <f ca="1">IF(ISBLANK(OFFSET('Data Table'!$A172,2,Settings!$G$5+1)),"",OFFSET('Data Table'!$A172,2,Settings!$G$5+1))</f>
        <v/>
      </c>
      <c r="G177">
        <f t="shared" ca="1" si="2"/>
        <v>30</v>
      </c>
      <c r="H177">
        <f ca="1">IF(G177=-888,"",IF(G177=-999,Settings!$G$4,IF(AND($AA$6="Excluded",G177&gt;=Settings!$G$2),"",G177)))</f>
        <v>30</v>
      </c>
      <c r="I177">
        <f ca="1">IF(OR(G177=-999,G177=-888,AND($AA$6="Excluded",G177&gt;=Settings!$G$2)),"",G177)</f>
        <v>30</v>
      </c>
      <c r="O177" s="46"/>
    </row>
    <row r="178" spans="1:15" x14ac:dyDescent="0.2">
      <c r="A178" s="1">
        <v>173</v>
      </c>
      <c r="B178" t="str">
        <f>IF(ISERROR(MATCH(TRIM('Data Table'!D175),Settings!$G$15:$G$20,0)),TRIM('Data Table'!D175),LOOKUP(TRIM('Data Table'!D175),Settings!$G$15:$G$20,Settings!$H$15:$H$20))</f>
        <v>Rowan</v>
      </c>
      <c r="C178" t="str">
        <f>IF('Data Table'!F175="","SS",IF('Data Table'!F175="SF","SD",TRIM('Data Table'!F175)))</f>
        <v>SS</v>
      </c>
      <c r="D178" s="106">
        <f ca="1">IF(ISBLANK(OFFSET('Data Table'!$A173,2,Settings!$G$5-1)),"",OFFSET('Data Table'!$A173,2,Settings!$G$5-1))</f>
        <v>120</v>
      </c>
      <c r="E178" s="106" t="str">
        <f ca="1">IF(ISBLANK(OFFSET('Data Table'!$A173,2,Settings!$G$5)),"",OFFSET('Data Table'!$A173,2,Settings!$G$5))</f>
        <v/>
      </c>
      <c r="F178" s="143" t="str">
        <f ca="1">IF(ISBLANK(OFFSET('Data Table'!$A173,2,Settings!$G$5+1)),"",OFFSET('Data Table'!$A173,2,Settings!$G$5+1))</f>
        <v/>
      </c>
      <c r="G178">
        <f t="shared" ca="1" si="2"/>
        <v>120</v>
      </c>
      <c r="H178">
        <f ca="1">IF(G178=-888,"",IF(G178=-999,Settings!$G$4,IF(AND($AA$6="Excluded",G178&gt;=Settings!$G$2),"",G178)))</f>
        <v>120</v>
      </c>
      <c r="I178">
        <f ca="1">IF(OR(G178=-999,G178=-888,AND($AA$6="Excluded",G178&gt;=Settings!$G$2)),"",G178)</f>
        <v>120</v>
      </c>
      <c r="O178" s="46"/>
    </row>
    <row r="179" spans="1:15" x14ac:dyDescent="0.2">
      <c r="A179" s="1">
        <v>174</v>
      </c>
      <c r="B179" t="str">
        <f>IF(ISERROR(MATCH(TRIM('Data Table'!D176),Settings!$G$15:$G$20,0)),TRIM('Data Table'!D176),LOOKUP(TRIM('Data Table'!D176),Settings!$G$15:$G$20,Settings!$H$15:$H$20))</f>
        <v>Rowan</v>
      </c>
      <c r="C179" t="str">
        <f>IF('Data Table'!F176="","SS",IF('Data Table'!F176="SF","SD",TRIM('Data Table'!F176)))</f>
        <v>SS</v>
      </c>
      <c r="D179" s="106">
        <f ca="1">IF(ISBLANK(OFFSET('Data Table'!$A174,2,Settings!$G$5-1)),"",OFFSET('Data Table'!$A174,2,Settings!$G$5-1))</f>
        <v>75</v>
      </c>
      <c r="E179" s="106" t="str">
        <f ca="1">IF(ISBLANK(OFFSET('Data Table'!$A174,2,Settings!$G$5)),"",OFFSET('Data Table'!$A174,2,Settings!$G$5))</f>
        <v/>
      </c>
      <c r="F179" s="143" t="str">
        <f ca="1">IF(ISBLANK(OFFSET('Data Table'!$A174,2,Settings!$G$5+1)),"",OFFSET('Data Table'!$A174,2,Settings!$G$5+1))</f>
        <v/>
      </c>
      <c r="G179">
        <f t="shared" ca="1" si="2"/>
        <v>75</v>
      </c>
      <c r="H179">
        <f ca="1">IF(G179=-888,"",IF(G179=-999,Settings!$G$4,IF(AND($AA$6="Excluded",G179&gt;=Settings!$G$2),"",G179)))</f>
        <v>75</v>
      </c>
      <c r="I179">
        <f ca="1">IF(OR(G179=-999,G179=-888,AND($AA$6="Excluded",G179&gt;=Settings!$G$2)),"",G179)</f>
        <v>75</v>
      </c>
      <c r="O179" s="46"/>
    </row>
    <row r="180" spans="1:15" x14ac:dyDescent="0.2">
      <c r="A180" s="1">
        <v>175</v>
      </c>
      <c r="B180" t="str">
        <f>IF(ISERROR(MATCH(TRIM('Data Table'!D177),Settings!$G$15:$G$20,0)),TRIM('Data Table'!D177),LOOKUP(TRIM('Data Table'!D177),Settings!$G$15:$G$20,Settings!$H$15:$H$20))</f>
        <v>Rowan</v>
      </c>
      <c r="C180" t="str">
        <f>IF('Data Table'!F177="","SS",IF('Data Table'!F177="SF","SD",TRIM('Data Table'!F177)))</f>
        <v>SB</v>
      </c>
      <c r="D180" s="106">
        <f ca="1">IF(ISBLANK(OFFSET('Data Table'!$A175,2,Settings!$G$5-1)),"",OFFSET('Data Table'!$A175,2,Settings!$G$5-1))</f>
        <v>40</v>
      </c>
      <c r="E180" s="106" t="str">
        <f ca="1">IF(ISBLANK(OFFSET('Data Table'!$A175,2,Settings!$G$5)),"",OFFSET('Data Table'!$A175,2,Settings!$G$5))</f>
        <v/>
      </c>
      <c r="F180" s="143" t="str">
        <f ca="1">IF(ISBLANK(OFFSET('Data Table'!$A175,2,Settings!$G$5+1)),"",OFFSET('Data Table'!$A175,2,Settings!$G$5+1))</f>
        <v/>
      </c>
      <c r="G180">
        <f t="shared" ca="1" si="2"/>
        <v>40</v>
      </c>
      <c r="H180">
        <f ca="1">IF(G180=-888,"",IF(G180=-999,Settings!$G$4,IF(AND($AA$6="Excluded",G180&gt;=Settings!$G$2),"",G180)))</f>
        <v>40</v>
      </c>
      <c r="I180">
        <f ca="1">IF(OR(G180=-999,G180=-888,AND($AA$6="Excluded",G180&gt;=Settings!$G$2)),"",G180)</f>
        <v>40</v>
      </c>
      <c r="O180" s="46"/>
    </row>
    <row r="181" spans="1:15" x14ac:dyDescent="0.2">
      <c r="A181" s="1">
        <v>176</v>
      </c>
      <c r="B181" t="str">
        <f>IF(ISERROR(MATCH(TRIM('Data Table'!D178),Settings!$G$15:$G$20,0)),TRIM('Data Table'!D178),LOOKUP(TRIM('Data Table'!D178),Settings!$G$15:$G$20,Settings!$H$15:$H$20))</f>
        <v>Lincoln</v>
      </c>
      <c r="C181" t="str">
        <f>IF('Data Table'!F178="","SS",IF('Data Table'!F178="SF","SD",TRIM('Data Table'!F178)))</f>
        <v>SS</v>
      </c>
      <c r="D181" s="106">
        <f ca="1">IF(ISBLANK(OFFSET('Data Table'!$A176,2,Settings!$G$5-1)),"",OFFSET('Data Table'!$A176,2,Settings!$G$5-1))</f>
        <v>28</v>
      </c>
      <c r="E181" s="106" t="str">
        <f ca="1">IF(ISBLANK(OFFSET('Data Table'!$A176,2,Settings!$G$5)),"",OFFSET('Data Table'!$A176,2,Settings!$G$5))</f>
        <v/>
      </c>
      <c r="F181" s="143" t="str">
        <f ca="1">IF(ISBLANK(OFFSET('Data Table'!$A176,2,Settings!$G$5+1)),"",OFFSET('Data Table'!$A176,2,Settings!$G$5+1))</f>
        <v/>
      </c>
      <c r="G181">
        <f t="shared" ca="1" si="2"/>
        <v>28</v>
      </c>
      <c r="H181">
        <f ca="1">IF(G181=-888,"",IF(G181=-999,Settings!$G$4,IF(AND($AA$6="Excluded",G181&gt;=Settings!$G$2),"",G181)))</f>
        <v>28</v>
      </c>
      <c r="I181">
        <f ca="1">IF(OR(G181=-999,G181=-888,AND($AA$6="Excluded",G181&gt;=Settings!$G$2)),"",G181)</f>
        <v>28</v>
      </c>
      <c r="O181" s="46"/>
    </row>
    <row r="182" spans="1:15" x14ac:dyDescent="0.2">
      <c r="A182" s="1">
        <v>177</v>
      </c>
      <c r="B182" t="str">
        <f>IF(ISERROR(MATCH(TRIM('Data Table'!D179),Settings!$G$15:$G$20,0)),TRIM('Data Table'!D179),LOOKUP(TRIM('Data Table'!D179),Settings!$G$15:$G$20,Settings!$H$15:$H$20))</f>
        <v>Pitt</v>
      </c>
      <c r="C182" t="str">
        <f>IF('Data Table'!F179="","SS",IF('Data Table'!F179="SF","SD",TRIM('Data Table'!F179)))</f>
        <v>SB</v>
      </c>
      <c r="D182" s="106">
        <f ca="1">IF(ISBLANK(OFFSET('Data Table'!$A177,2,Settings!$G$5-1)),"",OFFSET('Data Table'!$A177,2,Settings!$G$5-1))</f>
        <v>4</v>
      </c>
      <c r="E182" s="106" t="str">
        <f ca="1">IF(ISBLANK(OFFSET('Data Table'!$A177,2,Settings!$G$5)),"",OFFSET('Data Table'!$A177,2,Settings!$G$5))</f>
        <v/>
      </c>
      <c r="F182" s="143" t="str">
        <f ca="1">IF(ISBLANK(OFFSET('Data Table'!$A177,2,Settings!$G$5+1)),"",OFFSET('Data Table'!$A177,2,Settings!$G$5+1))</f>
        <v/>
      </c>
      <c r="G182">
        <f t="shared" ca="1" si="2"/>
        <v>4</v>
      </c>
      <c r="H182">
        <f ca="1">IF(G182=-888,"",IF(G182=-999,Settings!$G$4,IF(AND($AA$6="Excluded",G182&gt;=Settings!$G$2),"",G182)))</f>
        <v>4</v>
      </c>
      <c r="I182">
        <f ca="1">IF(OR(G182=-999,G182=-888,AND($AA$6="Excluded",G182&gt;=Settings!$G$2)),"",G182)</f>
        <v>4</v>
      </c>
      <c r="O182" s="46"/>
    </row>
    <row r="183" spans="1:15" x14ac:dyDescent="0.2">
      <c r="A183" s="1">
        <v>178</v>
      </c>
      <c r="B183" t="str">
        <f>IF(ISERROR(MATCH(TRIM('Data Table'!D180),Settings!$G$15:$G$20,0)),TRIM('Data Table'!D180),LOOKUP(TRIM('Data Table'!D180),Settings!$G$15:$G$20,Settings!$H$15:$H$20))</f>
        <v>Pitt</v>
      </c>
      <c r="C183" t="str">
        <f>IF('Data Table'!F180="","SS",IF('Data Table'!F180="SF","SD",TRIM('Data Table'!F180)))</f>
        <v>SS</v>
      </c>
      <c r="D183" s="106">
        <f ca="1">IF(ISBLANK(OFFSET('Data Table'!$A178,2,Settings!$G$5-1)),"",OFFSET('Data Table'!$A178,2,Settings!$G$5-1))</f>
        <v>21</v>
      </c>
      <c r="E183" s="106" t="str">
        <f ca="1">IF(ISBLANK(OFFSET('Data Table'!$A178,2,Settings!$G$5)),"",OFFSET('Data Table'!$A178,2,Settings!$G$5))</f>
        <v/>
      </c>
      <c r="F183" s="143" t="str">
        <f ca="1">IF(ISBLANK(OFFSET('Data Table'!$A178,2,Settings!$G$5+1)),"",OFFSET('Data Table'!$A178,2,Settings!$G$5+1))</f>
        <v/>
      </c>
      <c r="G183">
        <f t="shared" ca="1" si="2"/>
        <v>21</v>
      </c>
      <c r="H183">
        <f ca="1">IF(G183=-888,"",IF(G183=-999,Settings!$G$4,IF(AND($AA$6="Excluded",G183&gt;=Settings!$G$2),"",G183)))</f>
        <v>21</v>
      </c>
      <c r="I183">
        <f ca="1">IF(OR(G183=-999,G183=-888,AND($AA$6="Excluded",G183&gt;=Settings!$G$2)),"",G183)</f>
        <v>21</v>
      </c>
      <c r="O183" s="46"/>
    </row>
    <row r="184" spans="1:15" x14ac:dyDescent="0.2">
      <c r="A184" s="1">
        <v>179</v>
      </c>
      <c r="B184" t="str">
        <f>IF(ISERROR(MATCH(TRIM('Data Table'!D181),Settings!$G$15:$G$20,0)),TRIM('Data Table'!D181),LOOKUP(TRIM('Data Table'!D181),Settings!$G$15:$G$20,Settings!$H$15:$H$20))</f>
        <v>Cumberland</v>
      </c>
      <c r="C184" t="str">
        <f>IF('Data Table'!F181="","SS",IF('Data Table'!F181="SF","SD",TRIM('Data Table'!F181)))</f>
        <v>SS</v>
      </c>
      <c r="D184" s="106" t="str">
        <f ca="1">IF(ISBLANK(OFFSET('Data Table'!$A179,2,Settings!$G$5-1)),"",OFFSET('Data Table'!$A179,2,Settings!$G$5-1))</f>
        <v/>
      </c>
      <c r="E184" s="106" t="str">
        <f ca="1">IF(ISBLANK(OFFSET('Data Table'!$A179,2,Settings!$G$5)),"",OFFSET('Data Table'!$A179,2,Settings!$G$5))</f>
        <v/>
      </c>
      <c r="F184" s="143">
        <f ca="1">IF(ISBLANK(OFFSET('Data Table'!$A179,2,Settings!$G$5+1)),"",OFFSET('Data Table'!$A179,2,Settings!$G$5+1))</f>
        <v>20</v>
      </c>
      <c r="G184">
        <f t="shared" ca="1" si="2"/>
        <v>20</v>
      </c>
      <c r="H184">
        <f ca="1">IF(G184=-888,"",IF(G184=-999,Settings!$G$4,IF(AND($AA$6="Excluded",G184&gt;=Settings!$G$2),"",G184)))</f>
        <v>20</v>
      </c>
      <c r="I184">
        <f ca="1">IF(OR(G184=-999,G184=-888,AND($AA$6="Excluded",G184&gt;=Settings!$G$2)),"",G184)</f>
        <v>20</v>
      </c>
      <c r="O184" s="46"/>
    </row>
    <row r="185" spans="1:15" x14ac:dyDescent="0.2">
      <c r="A185" s="1">
        <v>180</v>
      </c>
      <c r="B185" t="str">
        <f>IF(ISERROR(MATCH(TRIM('Data Table'!D182),Settings!$G$15:$G$20,0)),TRIM('Data Table'!D182),LOOKUP(TRIM('Data Table'!D182),Settings!$G$15:$G$20,Settings!$H$15:$H$20))</f>
        <v>Pitt</v>
      </c>
      <c r="C185" t="str">
        <f>IF('Data Table'!F182="","SS",IF('Data Table'!F182="SF","SD",TRIM('Data Table'!F182)))</f>
        <v>SS</v>
      </c>
      <c r="D185" s="106">
        <f ca="1">IF(ISBLANK(OFFSET('Data Table'!$A180,2,Settings!$G$5-1)),"",OFFSET('Data Table'!$A180,2,Settings!$G$5-1))</f>
        <v>14</v>
      </c>
      <c r="E185" s="106" t="str">
        <f ca="1">IF(ISBLANK(OFFSET('Data Table'!$A180,2,Settings!$G$5)),"",OFFSET('Data Table'!$A180,2,Settings!$G$5))</f>
        <v/>
      </c>
      <c r="F185" s="143" t="str">
        <f ca="1">IF(ISBLANK(OFFSET('Data Table'!$A180,2,Settings!$G$5+1)),"",OFFSET('Data Table'!$A180,2,Settings!$G$5+1))</f>
        <v/>
      </c>
      <c r="G185">
        <f t="shared" ca="1" si="2"/>
        <v>14</v>
      </c>
      <c r="H185">
        <f ca="1">IF(G185=-888,"",IF(G185=-999,Settings!$G$4,IF(AND($AA$6="Excluded",G185&gt;=Settings!$G$2),"",G185)))</f>
        <v>14</v>
      </c>
      <c r="I185">
        <f ca="1">IF(OR(G185=-999,G185=-888,AND($AA$6="Excluded",G185&gt;=Settings!$G$2)),"",G185)</f>
        <v>14</v>
      </c>
      <c r="O185" s="46"/>
    </row>
    <row r="186" spans="1:15" x14ac:dyDescent="0.2">
      <c r="A186" s="1">
        <v>181</v>
      </c>
      <c r="B186" t="str">
        <f>IF(ISERROR(MATCH(TRIM('Data Table'!D183),Settings!$G$15:$G$20,0)),TRIM('Data Table'!D183),LOOKUP(TRIM('Data Table'!D183),Settings!$G$15:$G$20,Settings!$H$15:$H$20))</f>
        <v>Yadkin</v>
      </c>
      <c r="C186" t="str">
        <f>IF('Data Table'!F183="","SS",IF('Data Table'!F183="SF","SD",TRIM('Data Table'!F183)))</f>
        <v>SS</v>
      </c>
      <c r="D186" s="106">
        <f ca="1">IF(ISBLANK(OFFSET('Data Table'!$A181,2,Settings!$G$5-1)),"",OFFSET('Data Table'!$A181,2,Settings!$G$5-1))</f>
        <v>20</v>
      </c>
      <c r="E186" s="106" t="str">
        <f ca="1">IF(ISBLANK(OFFSET('Data Table'!$A181,2,Settings!$G$5)),"",OFFSET('Data Table'!$A181,2,Settings!$G$5))</f>
        <v/>
      </c>
      <c r="F186" s="143" t="str">
        <f ca="1">IF(ISBLANK(OFFSET('Data Table'!$A181,2,Settings!$G$5+1)),"",OFFSET('Data Table'!$A181,2,Settings!$G$5+1))</f>
        <v/>
      </c>
      <c r="G186">
        <f t="shared" ca="1" si="2"/>
        <v>20</v>
      </c>
      <c r="H186">
        <f ca="1">IF(G186=-888,"",IF(G186=-999,Settings!$G$4,IF(AND($AA$6="Excluded",G186&gt;=Settings!$G$2),"",G186)))</f>
        <v>20</v>
      </c>
      <c r="I186">
        <f ca="1">IF(OR(G186=-999,G186=-888,AND($AA$6="Excluded",G186&gt;=Settings!$G$2)),"",G186)</f>
        <v>20</v>
      </c>
      <c r="O186" s="46"/>
    </row>
    <row r="187" spans="1:15" x14ac:dyDescent="0.2">
      <c r="A187" s="1">
        <v>182</v>
      </c>
      <c r="B187" t="str">
        <f>IF(ISERROR(MATCH(TRIM('Data Table'!D184),Settings!$G$15:$G$20,0)),TRIM('Data Table'!D184),LOOKUP(TRIM('Data Table'!D184),Settings!$G$15:$G$20,Settings!$H$15:$H$20))</f>
        <v>Randolph</v>
      </c>
      <c r="C187" t="str">
        <f>IF('Data Table'!F184="","SS",IF('Data Table'!F184="SF","SD",TRIM('Data Table'!F184)))</f>
        <v>SS</v>
      </c>
      <c r="D187" s="106">
        <f ca="1">IF(ISBLANK(OFFSET('Data Table'!$A182,2,Settings!$G$5-1)),"",OFFSET('Data Table'!$A182,2,Settings!$G$5-1))</f>
        <v>34</v>
      </c>
      <c r="E187" s="106" t="str">
        <f ca="1">IF(ISBLANK(OFFSET('Data Table'!$A182,2,Settings!$G$5)),"",OFFSET('Data Table'!$A182,2,Settings!$G$5))</f>
        <v/>
      </c>
      <c r="F187" s="143" t="str">
        <f ca="1">IF(ISBLANK(OFFSET('Data Table'!$A182,2,Settings!$G$5+1)),"",OFFSET('Data Table'!$A182,2,Settings!$G$5+1))</f>
        <v/>
      </c>
      <c r="G187">
        <f t="shared" ca="1" si="2"/>
        <v>34</v>
      </c>
      <c r="H187">
        <f ca="1">IF(G187=-888,"",IF(G187=-999,Settings!$G$4,IF(AND($AA$6="Excluded",G187&gt;=Settings!$G$2),"",G187)))</f>
        <v>34</v>
      </c>
      <c r="I187">
        <f ca="1">IF(OR(G187=-999,G187=-888,AND($AA$6="Excluded",G187&gt;=Settings!$G$2)),"",G187)</f>
        <v>34</v>
      </c>
      <c r="O187" s="46"/>
    </row>
    <row r="188" spans="1:15" x14ac:dyDescent="0.2">
      <c r="A188" s="1">
        <v>183</v>
      </c>
      <c r="B188" t="str">
        <f>IF(ISERROR(MATCH(TRIM('Data Table'!D185),Settings!$G$15:$G$20,0)),TRIM('Data Table'!D185),LOOKUP(TRIM('Data Table'!D185),Settings!$G$15:$G$20,Settings!$H$15:$H$20))</f>
        <v>Randolph</v>
      </c>
      <c r="C188" t="str">
        <f>IF('Data Table'!F185="","SS",IF('Data Table'!F185="SF","SD",TRIM('Data Table'!F185)))</f>
        <v>SB</v>
      </c>
      <c r="D188" s="106">
        <f ca="1">IF(ISBLANK(OFFSET('Data Table'!$A183,2,Settings!$G$5-1)),"",OFFSET('Data Table'!$A183,2,Settings!$G$5-1))</f>
        <v>8</v>
      </c>
      <c r="E188" s="106" t="str">
        <f ca="1">IF(ISBLANK(OFFSET('Data Table'!$A183,2,Settings!$G$5)),"",OFFSET('Data Table'!$A183,2,Settings!$G$5))</f>
        <v/>
      </c>
      <c r="F188" s="143" t="str">
        <f ca="1">IF(ISBLANK(OFFSET('Data Table'!$A183,2,Settings!$G$5+1)),"",OFFSET('Data Table'!$A183,2,Settings!$G$5+1))</f>
        <v/>
      </c>
      <c r="G188">
        <f t="shared" ca="1" si="2"/>
        <v>8</v>
      </c>
      <c r="H188">
        <f ca="1">IF(G188=-888,"",IF(G188=-999,Settings!$G$4,IF(AND($AA$6="Excluded",G188&gt;=Settings!$G$2),"",G188)))</f>
        <v>8</v>
      </c>
      <c r="I188">
        <f ca="1">IF(OR(G188=-999,G188=-888,AND($AA$6="Excluded",G188&gt;=Settings!$G$2)),"",G188)</f>
        <v>8</v>
      </c>
      <c r="O188" s="46"/>
    </row>
    <row r="189" spans="1:15" x14ac:dyDescent="0.2">
      <c r="A189" s="1">
        <v>184</v>
      </c>
      <c r="B189" t="str">
        <f>IF(ISERROR(MATCH(TRIM('Data Table'!D186),Settings!$G$15:$G$20,0)),TRIM('Data Table'!D186),LOOKUP(TRIM('Data Table'!D186),Settings!$G$15:$G$20,Settings!$H$15:$H$20))</f>
        <v>Randolph</v>
      </c>
      <c r="C189" t="str">
        <f>IF('Data Table'!F186="","SS",IF('Data Table'!F186="SF","SD",TRIM('Data Table'!F186)))</f>
        <v>SD</v>
      </c>
      <c r="D189" s="106">
        <f ca="1">IF(ISBLANK(OFFSET('Data Table'!$A184,2,Settings!$G$5-1)),"",OFFSET('Data Table'!$A184,2,Settings!$G$5-1))</f>
        <v>20</v>
      </c>
      <c r="E189" s="106" t="str">
        <f ca="1">IF(ISBLANK(OFFSET('Data Table'!$A184,2,Settings!$G$5)),"",OFFSET('Data Table'!$A184,2,Settings!$G$5))</f>
        <v/>
      </c>
      <c r="F189" s="143" t="str">
        <f ca="1">IF(ISBLANK(OFFSET('Data Table'!$A184,2,Settings!$G$5+1)),"",OFFSET('Data Table'!$A184,2,Settings!$G$5+1))</f>
        <v/>
      </c>
      <c r="G189">
        <f t="shared" ca="1" si="2"/>
        <v>20</v>
      </c>
      <c r="H189">
        <f ca="1">IF(G189=-888,"",IF(G189=-999,Settings!$G$4,IF(AND($AA$6="Excluded",G189&gt;=Settings!$G$2),"",G189)))</f>
        <v>20</v>
      </c>
      <c r="I189">
        <f ca="1">IF(OR(G189=-999,G189=-888,AND($AA$6="Excluded",G189&gt;=Settings!$G$2)),"",G189)</f>
        <v>20</v>
      </c>
      <c r="O189" s="46"/>
    </row>
    <row r="190" spans="1:15" x14ac:dyDescent="0.2">
      <c r="A190" s="1">
        <v>185</v>
      </c>
      <c r="B190" t="str">
        <f>IF(ISERROR(MATCH(TRIM('Data Table'!D187),Settings!$G$15:$G$20,0)),TRIM('Data Table'!D187),LOOKUP(TRIM('Data Table'!D187),Settings!$G$15:$G$20,Settings!$H$15:$H$20))</f>
        <v>Guilford</v>
      </c>
      <c r="C190" t="str">
        <f>IF('Data Table'!F187="","SS",IF('Data Table'!F187="SF","SD",TRIM('Data Table'!F187)))</f>
        <v>SS</v>
      </c>
      <c r="D190" s="106">
        <f ca="1">IF(ISBLANK(OFFSET('Data Table'!$A185,2,Settings!$G$5-1)),"",OFFSET('Data Table'!$A185,2,Settings!$G$5-1))</f>
        <v>84</v>
      </c>
      <c r="E190" s="106" t="str">
        <f ca="1">IF(ISBLANK(OFFSET('Data Table'!$A185,2,Settings!$G$5)),"",OFFSET('Data Table'!$A185,2,Settings!$G$5))</f>
        <v/>
      </c>
      <c r="F190" s="143" t="str">
        <f ca="1">IF(ISBLANK(OFFSET('Data Table'!$A185,2,Settings!$G$5+1)),"",OFFSET('Data Table'!$A185,2,Settings!$G$5+1))</f>
        <v/>
      </c>
      <c r="G190">
        <f t="shared" ca="1" si="2"/>
        <v>84</v>
      </c>
      <c r="H190">
        <f ca="1">IF(G190=-888,"",IF(G190=-999,Settings!$G$4,IF(AND($AA$6="Excluded",G190&gt;=Settings!$G$2),"",G190)))</f>
        <v>84</v>
      </c>
      <c r="I190">
        <f ca="1">IF(OR(G190=-999,G190=-888,AND($AA$6="Excluded",G190&gt;=Settings!$G$2)),"",G190)</f>
        <v>84</v>
      </c>
      <c r="O190" s="46"/>
    </row>
    <row r="191" spans="1:15" x14ac:dyDescent="0.2">
      <c r="A191" s="1">
        <v>186</v>
      </c>
      <c r="B191" t="str">
        <f>IF(ISERROR(MATCH(TRIM('Data Table'!D188),Settings!$G$15:$G$20,0)),TRIM('Data Table'!D188),LOOKUP(TRIM('Data Table'!D188),Settings!$G$15:$G$20,Settings!$H$15:$H$20))</f>
        <v>Buncombe</v>
      </c>
      <c r="C191" t="str">
        <f>IF('Data Table'!F188="","SS",IF('Data Table'!F188="SF","SD",TRIM('Data Table'!F188)))</f>
        <v>SS</v>
      </c>
      <c r="D191" s="106">
        <f ca="1">IF(ISBLANK(OFFSET('Data Table'!$A186,2,Settings!$G$5-1)),"",OFFSET('Data Table'!$A186,2,Settings!$G$5-1))</f>
        <v>31</v>
      </c>
      <c r="E191" s="106" t="str">
        <f ca="1">IF(ISBLANK(OFFSET('Data Table'!$A186,2,Settings!$G$5)),"",OFFSET('Data Table'!$A186,2,Settings!$G$5))</f>
        <v/>
      </c>
      <c r="F191" s="143" t="str">
        <f ca="1">IF(ISBLANK(OFFSET('Data Table'!$A186,2,Settings!$G$5+1)),"",OFFSET('Data Table'!$A186,2,Settings!$G$5+1))</f>
        <v/>
      </c>
      <c r="G191">
        <f t="shared" ca="1" si="2"/>
        <v>31</v>
      </c>
      <c r="H191">
        <f ca="1">IF(G191=-888,"",IF(G191=-999,Settings!$G$4,IF(AND($AA$6="Excluded",G191&gt;=Settings!$G$2),"",G191)))</f>
        <v>31</v>
      </c>
      <c r="I191">
        <f ca="1">IF(OR(G191=-999,G191=-888,AND($AA$6="Excluded",G191&gt;=Settings!$G$2)),"",G191)</f>
        <v>31</v>
      </c>
      <c r="O191" s="46"/>
    </row>
    <row r="192" spans="1:15" x14ac:dyDescent="0.2">
      <c r="A192" s="1">
        <v>187</v>
      </c>
      <c r="B192" t="str">
        <f>IF(ISERROR(MATCH(TRIM('Data Table'!D189),Settings!$G$15:$G$20,0)),TRIM('Data Table'!D189),LOOKUP(TRIM('Data Table'!D189),Settings!$G$15:$G$20,Settings!$H$15:$H$20))</f>
        <v>Buncombe</v>
      </c>
      <c r="C192" t="str">
        <f>IF('Data Table'!F189="","SS",IF('Data Table'!F189="SF","SD",TRIM('Data Table'!F189)))</f>
        <v>SB</v>
      </c>
      <c r="D192" s="106">
        <f ca="1">IF(ISBLANK(OFFSET('Data Table'!$A187,2,Settings!$G$5-1)),"",OFFSET('Data Table'!$A187,2,Settings!$G$5-1))</f>
        <v>9.9</v>
      </c>
      <c r="E192" s="106" t="str">
        <f ca="1">IF(ISBLANK(OFFSET('Data Table'!$A187,2,Settings!$G$5)),"",OFFSET('Data Table'!$A187,2,Settings!$G$5))</f>
        <v/>
      </c>
      <c r="F192" s="143" t="str">
        <f ca="1">IF(ISBLANK(OFFSET('Data Table'!$A187,2,Settings!$G$5+1)),"",OFFSET('Data Table'!$A187,2,Settings!$G$5+1))</f>
        <v/>
      </c>
      <c r="G192">
        <f t="shared" ca="1" si="2"/>
        <v>9.9</v>
      </c>
      <c r="H192">
        <f ca="1">IF(G192=-888,"",IF(G192=-999,Settings!$G$4,IF(AND($AA$6="Excluded",G192&gt;=Settings!$G$2),"",G192)))</f>
        <v>9.9</v>
      </c>
      <c r="I192">
        <f ca="1">IF(OR(G192=-999,G192=-888,AND($AA$6="Excluded",G192&gt;=Settings!$G$2)),"",G192)</f>
        <v>9.9</v>
      </c>
      <c r="O192" s="46"/>
    </row>
    <row r="193" spans="1:15" x14ac:dyDescent="0.2">
      <c r="A193" s="1">
        <v>188</v>
      </c>
      <c r="B193" t="str">
        <f>IF(ISERROR(MATCH(TRIM('Data Table'!D190),Settings!$G$15:$G$20,0)),TRIM('Data Table'!D190),LOOKUP(TRIM('Data Table'!D190),Settings!$G$15:$G$20,Settings!$H$15:$H$20))</f>
        <v>Buncombe</v>
      </c>
      <c r="C193" t="str">
        <f>IF('Data Table'!F190="","SS",IF('Data Table'!F190="SF","SD",TRIM('Data Table'!F190)))</f>
        <v>SD</v>
      </c>
      <c r="D193" s="106">
        <f ca="1">IF(ISBLANK(OFFSET('Data Table'!$A188,2,Settings!$G$5-1)),"",OFFSET('Data Table'!$A188,2,Settings!$G$5-1))</f>
        <v>32</v>
      </c>
      <c r="E193" s="106" t="str">
        <f ca="1">IF(ISBLANK(OFFSET('Data Table'!$A188,2,Settings!$G$5)),"",OFFSET('Data Table'!$A188,2,Settings!$G$5))</f>
        <v/>
      </c>
      <c r="F193" s="143" t="str">
        <f ca="1">IF(ISBLANK(OFFSET('Data Table'!$A188,2,Settings!$G$5+1)),"",OFFSET('Data Table'!$A188,2,Settings!$G$5+1))</f>
        <v/>
      </c>
      <c r="G193">
        <f t="shared" ca="1" si="2"/>
        <v>32</v>
      </c>
      <c r="H193">
        <f ca="1">IF(G193=-888,"",IF(G193=-999,Settings!$G$4,IF(AND($AA$6="Excluded",G193&gt;=Settings!$G$2),"",G193)))</f>
        <v>32</v>
      </c>
      <c r="I193">
        <f ca="1">IF(OR(G193=-999,G193=-888,AND($AA$6="Excluded",G193&gt;=Settings!$G$2)),"",G193)</f>
        <v>32</v>
      </c>
      <c r="O193" s="46"/>
    </row>
    <row r="194" spans="1:15" x14ac:dyDescent="0.2">
      <c r="A194" s="1">
        <v>189</v>
      </c>
      <c r="B194" t="str">
        <f>IF(ISERROR(MATCH(TRIM('Data Table'!D191),Settings!$G$15:$G$20,0)),TRIM('Data Table'!D191),LOOKUP(TRIM('Data Table'!D191),Settings!$G$15:$G$20,Settings!$H$15:$H$20))</f>
        <v>New Hanover</v>
      </c>
      <c r="C194" t="str">
        <f>IF('Data Table'!F191="","SS",IF('Data Table'!F191="SF","SD",TRIM('Data Table'!F191)))</f>
        <v>SS</v>
      </c>
      <c r="D194" s="106">
        <f ca="1">IF(ISBLANK(OFFSET('Data Table'!$A189,2,Settings!$G$5-1)),"",OFFSET('Data Table'!$A189,2,Settings!$G$5-1))</f>
        <v>40</v>
      </c>
      <c r="E194" s="106" t="str">
        <f ca="1">IF(ISBLANK(OFFSET('Data Table'!$A189,2,Settings!$G$5)),"",OFFSET('Data Table'!$A189,2,Settings!$G$5))</f>
        <v/>
      </c>
      <c r="F194" s="143" t="str">
        <f ca="1">IF(ISBLANK(OFFSET('Data Table'!$A189,2,Settings!$G$5+1)),"",OFFSET('Data Table'!$A189,2,Settings!$G$5+1))</f>
        <v/>
      </c>
      <c r="G194">
        <f t="shared" ca="1" si="2"/>
        <v>40</v>
      </c>
      <c r="H194">
        <f ca="1">IF(G194=-888,"",IF(G194=-999,Settings!$G$4,IF(AND($AA$6="Excluded",G194&gt;=Settings!$G$2),"",G194)))</f>
        <v>40</v>
      </c>
      <c r="I194">
        <f ca="1">IF(OR(G194=-999,G194=-888,AND($AA$6="Excluded",G194&gt;=Settings!$G$2)),"",G194)</f>
        <v>40</v>
      </c>
      <c r="O194" s="46"/>
    </row>
    <row r="195" spans="1:15" x14ac:dyDescent="0.2">
      <c r="A195" s="1">
        <v>190</v>
      </c>
      <c r="B195" t="str">
        <f>IF(ISERROR(MATCH(TRIM('Data Table'!D192),Settings!$G$15:$G$20,0)),TRIM('Data Table'!D192),LOOKUP(TRIM('Data Table'!D192),Settings!$G$15:$G$20,Settings!$H$15:$H$20))</f>
        <v>Clay</v>
      </c>
      <c r="C195" t="str">
        <f>IF('Data Table'!F192="","SS",IF('Data Table'!F192="SF","SD",TRIM('Data Table'!F192)))</f>
        <v>SD</v>
      </c>
      <c r="D195" s="106" t="str">
        <f ca="1">IF(ISBLANK(OFFSET('Data Table'!$A190,2,Settings!$G$5-1)),"",OFFSET('Data Table'!$A190,2,Settings!$G$5-1))</f>
        <v/>
      </c>
      <c r="E195" s="106" t="str">
        <f ca="1">IF(ISBLANK(OFFSET('Data Table'!$A190,2,Settings!$G$5)),"",OFFSET('Data Table'!$A190,2,Settings!$G$5))</f>
        <v/>
      </c>
      <c r="F195" s="143">
        <f ca="1">IF(ISBLANK(OFFSET('Data Table'!$A190,2,Settings!$G$5+1)),"",OFFSET('Data Table'!$A190,2,Settings!$G$5+1))</f>
        <v>9.8000000000000007</v>
      </c>
      <c r="G195">
        <f t="shared" ca="1" si="2"/>
        <v>9.8000000000000007</v>
      </c>
      <c r="H195">
        <f ca="1">IF(G195=-888,"",IF(G195=-999,Settings!$G$4,IF(AND($AA$6="Excluded",G195&gt;=Settings!$G$2),"",G195)))</f>
        <v>9.8000000000000007</v>
      </c>
      <c r="I195">
        <f ca="1">IF(OR(G195=-999,G195=-888,AND($AA$6="Excluded",G195&gt;=Settings!$G$2)),"",G195)</f>
        <v>9.8000000000000007</v>
      </c>
      <c r="O195" s="46"/>
    </row>
    <row r="196" spans="1:15" x14ac:dyDescent="0.2">
      <c r="A196" s="1">
        <v>191</v>
      </c>
      <c r="B196" t="str">
        <f>IF(ISERROR(MATCH(TRIM('Data Table'!D193),Settings!$G$15:$G$20,0)),TRIM('Data Table'!D193),LOOKUP(TRIM('Data Table'!D193),Settings!$G$15:$G$20,Settings!$H$15:$H$20))</f>
        <v>Wake</v>
      </c>
      <c r="C196" t="str">
        <f>IF('Data Table'!F193="","SS",IF('Data Table'!F193="SF","SD",TRIM('Data Table'!F193)))</f>
        <v>SD</v>
      </c>
      <c r="D196" s="106">
        <f ca="1">IF(ISBLANK(OFFSET('Data Table'!$A191,2,Settings!$G$5-1)),"",OFFSET('Data Table'!$A191,2,Settings!$G$5-1))</f>
        <v>4</v>
      </c>
      <c r="E196" s="106" t="str">
        <f ca="1">IF(ISBLANK(OFFSET('Data Table'!$A191,2,Settings!$G$5)),"",OFFSET('Data Table'!$A191,2,Settings!$G$5))</f>
        <v/>
      </c>
      <c r="F196" s="143" t="str">
        <f ca="1">IF(ISBLANK(OFFSET('Data Table'!$A191,2,Settings!$G$5+1)),"",OFFSET('Data Table'!$A191,2,Settings!$G$5+1))</f>
        <v/>
      </c>
      <c r="G196">
        <f t="shared" ca="1" si="2"/>
        <v>4</v>
      </c>
      <c r="H196">
        <f ca="1">IF(G196=-888,"",IF(G196=-999,Settings!$G$4,IF(AND($AA$6="Excluded",G196&gt;=Settings!$G$2),"",G196)))</f>
        <v>4</v>
      </c>
      <c r="I196">
        <f ca="1">IF(OR(G196=-999,G196=-888,AND($AA$6="Excluded",G196&gt;=Settings!$G$2)),"",G196)</f>
        <v>4</v>
      </c>
      <c r="O196" s="46"/>
    </row>
    <row r="197" spans="1:15" x14ac:dyDescent="0.2">
      <c r="A197" s="1">
        <v>192</v>
      </c>
      <c r="B197" t="str">
        <f>IF(ISERROR(MATCH(TRIM('Data Table'!D194),Settings!$G$15:$G$20,0)),TRIM('Data Table'!D194),LOOKUP(TRIM('Data Table'!D194),Settings!$G$15:$G$20,Settings!$H$15:$H$20))</f>
        <v>Wake</v>
      </c>
      <c r="C197" t="str">
        <f>IF('Data Table'!F194="","SS",IF('Data Table'!F194="SF","SD",TRIM('Data Table'!F194)))</f>
        <v>SD</v>
      </c>
      <c r="D197" s="106">
        <f ca="1">IF(ISBLANK(OFFSET('Data Table'!$A192,2,Settings!$G$5-1)),"",OFFSET('Data Table'!$A192,2,Settings!$G$5-1))</f>
        <v>4.5</v>
      </c>
      <c r="E197" s="106" t="str">
        <f ca="1">IF(ISBLANK(OFFSET('Data Table'!$A192,2,Settings!$G$5)),"",OFFSET('Data Table'!$A192,2,Settings!$G$5))</f>
        <v/>
      </c>
      <c r="F197" s="143" t="str">
        <f ca="1">IF(ISBLANK(OFFSET('Data Table'!$A192,2,Settings!$G$5+1)),"",OFFSET('Data Table'!$A192,2,Settings!$G$5+1))</f>
        <v/>
      </c>
      <c r="G197">
        <f t="shared" ca="1" si="2"/>
        <v>4.5</v>
      </c>
      <c r="H197">
        <f ca="1">IF(G197=-888,"",IF(G197=-999,Settings!$G$4,IF(AND($AA$6="Excluded",G197&gt;=Settings!$G$2),"",G197)))</f>
        <v>4.5</v>
      </c>
      <c r="I197">
        <f ca="1">IF(OR(G197=-999,G197=-888,AND($AA$6="Excluded",G197&gt;=Settings!$G$2)),"",G197)</f>
        <v>4.5</v>
      </c>
      <c r="O197" s="46"/>
    </row>
    <row r="198" spans="1:15" x14ac:dyDescent="0.2">
      <c r="A198" s="1">
        <v>193</v>
      </c>
      <c r="B198" t="str">
        <f>IF(ISERROR(MATCH(TRIM('Data Table'!D195),Settings!$G$15:$G$20,0)),TRIM('Data Table'!D195),LOOKUP(TRIM('Data Table'!D195),Settings!$G$15:$G$20,Settings!$H$15:$H$20))</f>
        <v>Craven</v>
      </c>
      <c r="C198" t="str">
        <f>IF('Data Table'!F195="","SS",IF('Data Table'!F195="SF","SD",TRIM('Data Table'!F195)))</f>
        <v>SS</v>
      </c>
      <c r="D198" s="106">
        <f ca="1">IF(ISBLANK(OFFSET('Data Table'!$A193,2,Settings!$G$5-1)),"",OFFSET('Data Table'!$A193,2,Settings!$G$5-1))</f>
        <v>19</v>
      </c>
      <c r="E198" s="106" t="str">
        <f ca="1">IF(ISBLANK(OFFSET('Data Table'!$A193,2,Settings!$G$5)),"",OFFSET('Data Table'!$A193,2,Settings!$G$5))</f>
        <v/>
      </c>
      <c r="F198" s="143" t="str">
        <f ca="1">IF(ISBLANK(OFFSET('Data Table'!$A193,2,Settings!$G$5+1)),"",OFFSET('Data Table'!$A193,2,Settings!$G$5+1))</f>
        <v/>
      </c>
      <c r="G198">
        <f t="shared" ref="G198:G261" ca="1" si="3">IF(COUNTIF(SOIL_DEPTH,C198)=0,"",IF(OR(D198="#",E198="#",F198="#"),-999,IF(AND(D198="",E198="",F198=""),-888,IF(COUNT(D198:F198)&gt;1,"ERROR",MAX(D198:F198)))))</f>
        <v>19</v>
      </c>
      <c r="H198">
        <f ca="1">IF(G198=-888,"",IF(G198=-999,Settings!$G$4,IF(AND($AA$6="Excluded",G198&gt;=Settings!$G$2),"",G198)))</f>
        <v>19</v>
      </c>
      <c r="I198">
        <f ca="1">IF(OR(G198=-999,G198=-888,AND($AA$6="Excluded",G198&gt;=Settings!$G$2)),"",G198)</f>
        <v>19</v>
      </c>
      <c r="O198" s="46"/>
    </row>
    <row r="199" spans="1:15" x14ac:dyDescent="0.2">
      <c r="A199" s="1">
        <v>194</v>
      </c>
      <c r="B199" t="str">
        <f>IF(ISERROR(MATCH(TRIM('Data Table'!D196),Settings!$G$15:$G$20,0)),TRIM('Data Table'!D196),LOOKUP(TRIM('Data Table'!D196),Settings!$G$15:$G$20,Settings!$H$15:$H$20))</f>
        <v>Rutherford</v>
      </c>
      <c r="C199" t="str">
        <f>IF('Data Table'!F196="","SS",IF('Data Table'!F196="SF","SD",TRIM('Data Table'!F196)))</f>
        <v>SS</v>
      </c>
      <c r="D199" s="106">
        <f ca="1">IF(ISBLANK(OFFSET('Data Table'!$A194,2,Settings!$G$5-1)),"",OFFSET('Data Table'!$A194,2,Settings!$G$5-1))</f>
        <v>25</v>
      </c>
      <c r="E199" s="106" t="str">
        <f ca="1">IF(ISBLANK(OFFSET('Data Table'!$A194,2,Settings!$G$5)),"",OFFSET('Data Table'!$A194,2,Settings!$G$5))</f>
        <v/>
      </c>
      <c r="F199" s="143" t="str">
        <f ca="1">IF(ISBLANK(OFFSET('Data Table'!$A194,2,Settings!$G$5+1)),"",OFFSET('Data Table'!$A194,2,Settings!$G$5+1))</f>
        <v/>
      </c>
      <c r="G199">
        <f t="shared" ca="1" si="3"/>
        <v>25</v>
      </c>
      <c r="H199">
        <f ca="1">IF(G199=-888,"",IF(G199=-999,Settings!$G$4,IF(AND($AA$6="Excluded",G199&gt;=Settings!$G$2),"",G199)))</f>
        <v>25</v>
      </c>
      <c r="I199">
        <f ca="1">IF(OR(G199=-999,G199=-888,AND($AA$6="Excluded",G199&gt;=Settings!$G$2)),"",G199)</f>
        <v>25</v>
      </c>
      <c r="O199" s="46"/>
    </row>
    <row r="200" spans="1:15" x14ac:dyDescent="0.2">
      <c r="A200" s="1">
        <v>195</v>
      </c>
      <c r="B200" t="str">
        <f>IF(ISERROR(MATCH(TRIM('Data Table'!D197),Settings!$G$15:$G$20,0)),TRIM('Data Table'!D197),LOOKUP(TRIM('Data Table'!D197),Settings!$G$15:$G$20,Settings!$H$15:$H$20))</f>
        <v>Pender</v>
      </c>
      <c r="C200" t="str">
        <f>IF('Data Table'!F197="","SS",IF('Data Table'!F197="SF","SD",TRIM('Data Table'!F197)))</f>
        <v>SS</v>
      </c>
      <c r="D200" s="106">
        <f ca="1">IF(ISBLANK(OFFSET('Data Table'!$A195,2,Settings!$G$5-1)),"",OFFSET('Data Table'!$A195,2,Settings!$G$5-1))</f>
        <v>3.6</v>
      </c>
      <c r="E200" s="106" t="str">
        <f ca="1">IF(ISBLANK(OFFSET('Data Table'!$A195,2,Settings!$G$5)),"",OFFSET('Data Table'!$A195,2,Settings!$G$5))</f>
        <v/>
      </c>
      <c r="F200" s="143" t="str">
        <f ca="1">IF(ISBLANK(OFFSET('Data Table'!$A195,2,Settings!$G$5+1)),"",OFFSET('Data Table'!$A195,2,Settings!$G$5+1))</f>
        <v/>
      </c>
      <c r="G200">
        <f t="shared" ca="1" si="3"/>
        <v>3.6</v>
      </c>
      <c r="H200">
        <f ca="1">IF(G200=-888,"",IF(G200=-999,Settings!$G$4,IF(AND($AA$6="Excluded",G200&gt;=Settings!$G$2),"",G200)))</f>
        <v>3.6</v>
      </c>
      <c r="I200">
        <f ca="1">IF(OR(G200=-999,G200=-888,AND($AA$6="Excluded",G200&gt;=Settings!$G$2)),"",G200)</f>
        <v>3.6</v>
      </c>
      <c r="O200" s="46"/>
    </row>
    <row r="201" spans="1:15" x14ac:dyDescent="0.2">
      <c r="A201" s="1">
        <v>196</v>
      </c>
      <c r="B201" t="str">
        <f>IF(ISERROR(MATCH(TRIM('Data Table'!D198),Settings!$G$15:$G$20,0)),TRIM('Data Table'!D198),LOOKUP(TRIM('Data Table'!D198),Settings!$G$15:$G$20,Settings!$H$15:$H$20))</f>
        <v>Pender</v>
      </c>
      <c r="C201" t="str">
        <f>IF('Data Table'!F198="","SS",IF('Data Table'!F198="SF","SD",TRIM('Data Table'!F198)))</f>
        <v>SB</v>
      </c>
      <c r="D201" s="106">
        <f ca="1">IF(ISBLANK(OFFSET('Data Table'!$A196,2,Settings!$G$5-1)),"",OFFSET('Data Table'!$A196,2,Settings!$G$5-1))</f>
        <v>1.2</v>
      </c>
      <c r="E201" s="106" t="str">
        <f ca="1">IF(ISBLANK(OFFSET('Data Table'!$A196,2,Settings!$G$5)),"",OFFSET('Data Table'!$A196,2,Settings!$G$5))</f>
        <v/>
      </c>
      <c r="F201" s="143" t="str">
        <f ca="1">IF(ISBLANK(OFFSET('Data Table'!$A196,2,Settings!$G$5+1)),"",OFFSET('Data Table'!$A196,2,Settings!$G$5+1))</f>
        <v/>
      </c>
      <c r="G201">
        <f t="shared" ca="1" si="3"/>
        <v>1.2</v>
      </c>
      <c r="H201">
        <f ca="1">IF(G201=-888,"",IF(G201=-999,Settings!$G$4,IF(AND($AA$6="Excluded",G201&gt;=Settings!$G$2),"",G201)))</f>
        <v>1.2</v>
      </c>
      <c r="I201">
        <f ca="1">IF(OR(G201=-999,G201=-888,AND($AA$6="Excluded",G201&gt;=Settings!$G$2)),"",G201)</f>
        <v>1.2</v>
      </c>
      <c r="O201" s="46"/>
    </row>
    <row r="202" spans="1:15" x14ac:dyDescent="0.2">
      <c r="A202" s="1">
        <v>197</v>
      </c>
      <c r="B202" t="str">
        <f>IF(ISERROR(MATCH(TRIM('Data Table'!D199),Settings!$G$15:$G$20,0)),TRIM('Data Table'!D199),LOOKUP(TRIM('Data Table'!D199),Settings!$G$15:$G$20,Settings!$H$15:$H$20))</f>
        <v>Caldwell</v>
      </c>
      <c r="C202" t="str">
        <f>IF('Data Table'!F199="","SS",IF('Data Table'!F199="SF","SD",TRIM('Data Table'!F199)))</f>
        <v>SB</v>
      </c>
      <c r="D202" s="106" t="str">
        <f ca="1">IF(ISBLANK(OFFSET('Data Table'!$A197,2,Settings!$G$5-1)),"",OFFSET('Data Table'!$A197,2,Settings!$G$5-1))</f>
        <v/>
      </c>
      <c r="E202" s="106" t="str">
        <f ca="1">IF(ISBLANK(OFFSET('Data Table'!$A197,2,Settings!$G$5)),"",OFFSET('Data Table'!$A197,2,Settings!$G$5))</f>
        <v/>
      </c>
      <c r="F202" s="143">
        <f ca="1">IF(ISBLANK(OFFSET('Data Table'!$A197,2,Settings!$G$5+1)),"",OFFSET('Data Table'!$A197,2,Settings!$G$5+1))</f>
        <v>30</v>
      </c>
      <c r="G202">
        <f t="shared" ca="1" si="3"/>
        <v>30</v>
      </c>
      <c r="H202">
        <f ca="1">IF(G202=-888,"",IF(G202=-999,Settings!$G$4,IF(AND($AA$6="Excluded",G202&gt;=Settings!$G$2),"",G202)))</f>
        <v>30</v>
      </c>
      <c r="I202">
        <f ca="1">IF(OR(G202=-999,G202=-888,AND($AA$6="Excluded",G202&gt;=Settings!$G$2)),"",G202)</f>
        <v>30</v>
      </c>
      <c r="O202" s="46"/>
    </row>
    <row r="203" spans="1:15" x14ac:dyDescent="0.2">
      <c r="A203" s="1">
        <v>198</v>
      </c>
      <c r="B203" t="str">
        <f>IF(ISERROR(MATCH(TRIM('Data Table'!D200),Settings!$G$15:$G$20,0)),TRIM('Data Table'!D200),LOOKUP(TRIM('Data Table'!D200),Settings!$G$15:$G$20,Settings!$H$15:$H$20))</f>
        <v>Caldwell</v>
      </c>
      <c r="C203" t="str">
        <f>IF('Data Table'!F200="","SS",IF('Data Table'!F200="SF","SD",TRIM('Data Table'!F200)))</f>
        <v>SD</v>
      </c>
      <c r="D203" s="106" t="str">
        <f ca="1">IF(ISBLANK(OFFSET('Data Table'!$A198,2,Settings!$G$5-1)),"",OFFSET('Data Table'!$A198,2,Settings!$G$5-1))</f>
        <v/>
      </c>
      <c r="E203" s="106">
        <f ca="1">IF(ISBLANK(OFFSET('Data Table'!$A198,2,Settings!$G$5)),"",OFFSET('Data Table'!$A198,2,Settings!$G$5))</f>
        <v>27.36</v>
      </c>
      <c r="F203" s="143" t="str">
        <f ca="1">IF(ISBLANK(OFFSET('Data Table'!$A198,2,Settings!$G$5+1)),"",OFFSET('Data Table'!$A198,2,Settings!$G$5+1))</f>
        <v/>
      </c>
      <c r="G203">
        <f t="shared" ca="1" si="3"/>
        <v>27.36</v>
      </c>
      <c r="H203">
        <f ca="1">IF(G203=-888,"",IF(G203=-999,Settings!$G$4,IF(AND($AA$6="Excluded",G203&gt;=Settings!$G$2),"",G203)))</f>
        <v>27.36</v>
      </c>
      <c r="I203">
        <f ca="1">IF(OR(G203=-999,G203=-888,AND($AA$6="Excluded",G203&gt;=Settings!$G$2)),"",G203)</f>
        <v>27.36</v>
      </c>
      <c r="O203" s="46"/>
    </row>
    <row r="204" spans="1:15" x14ac:dyDescent="0.2">
      <c r="A204" s="1">
        <v>199</v>
      </c>
      <c r="B204" t="str">
        <f>IF(ISERROR(MATCH(TRIM('Data Table'!D201),Settings!$G$15:$G$20,0)),TRIM('Data Table'!D201),LOOKUP(TRIM('Data Table'!D201),Settings!$G$15:$G$20,Settings!$H$15:$H$20))</f>
        <v>Buncombe</v>
      </c>
      <c r="C204" t="str">
        <f>IF('Data Table'!F201="","SS",IF('Data Table'!F201="SF","SD",TRIM('Data Table'!F201)))</f>
        <v>SS</v>
      </c>
      <c r="D204" s="106">
        <f ca="1">IF(ISBLANK(OFFSET('Data Table'!$A199,2,Settings!$G$5-1)),"",OFFSET('Data Table'!$A199,2,Settings!$G$5-1))</f>
        <v>27</v>
      </c>
      <c r="E204" s="106" t="str">
        <f ca="1">IF(ISBLANK(OFFSET('Data Table'!$A199,2,Settings!$G$5)),"",OFFSET('Data Table'!$A199,2,Settings!$G$5))</f>
        <v/>
      </c>
      <c r="F204" s="143" t="str">
        <f ca="1">IF(ISBLANK(OFFSET('Data Table'!$A199,2,Settings!$G$5+1)),"",OFFSET('Data Table'!$A199,2,Settings!$G$5+1))</f>
        <v/>
      </c>
      <c r="G204">
        <f t="shared" ca="1" si="3"/>
        <v>27</v>
      </c>
      <c r="H204">
        <f ca="1">IF(G204=-888,"",IF(G204=-999,Settings!$G$4,IF(AND($AA$6="Excluded",G204&gt;=Settings!$G$2),"",G204)))</f>
        <v>27</v>
      </c>
      <c r="I204">
        <f ca="1">IF(OR(G204=-999,G204=-888,AND($AA$6="Excluded",G204&gt;=Settings!$G$2)),"",G204)</f>
        <v>27</v>
      </c>
      <c r="O204" s="46"/>
    </row>
    <row r="205" spans="1:15" x14ac:dyDescent="0.2">
      <c r="A205" s="1">
        <v>200</v>
      </c>
      <c r="B205" t="str">
        <f>IF(ISERROR(MATCH(TRIM('Data Table'!D202),Settings!$G$15:$G$20,0)),TRIM('Data Table'!D202),LOOKUP(TRIM('Data Table'!D202),Settings!$G$15:$G$20,Settings!$H$15:$H$20))</f>
        <v>Rowan</v>
      </c>
      <c r="C205" t="str">
        <f>IF('Data Table'!F202="","SS",IF('Data Table'!F202="SF","SD",TRIM('Data Table'!F202)))</f>
        <v>SS</v>
      </c>
      <c r="D205" s="106">
        <f ca="1">IF(ISBLANK(OFFSET('Data Table'!$A200,2,Settings!$G$5-1)),"",OFFSET('Data Table'!$A200,2,Settings!$G$5-1))</f>
        <v>30</v>
      </c>
      <c r="E205" s="106" t="str">
        <f ca="1">IF(ISBLANK(OFFSET('Data Table'!$A200,2,Settings!$G$5)),"",OFFSET('Data Table'!$A200,2,Settings!$G$5))</f>
        <v/>
      </c>
      <c r="F205" s="143" t="str">
        <f ca="1">IF(ISBLANK(OFFSET('Data Table'!$A200,2,Settings!$G$5+1)),"",OFFSET('Data Table'!$A200,2,Settings!$G$5+1))</f>
        <v/>
      </c>
      <c r="G205">
        <f t="shared" ca="1" si="3"/>
        <v>30</v>
      </c>
      <c r="H205">
        <f ca="1">IF(G205=-888,"",IF(G205=-999,Settings!$G$4,IF(AND($AA$6="Excluded",G205&gt;=Settings!$G$2),"",G205)))</f>
        <v>30</v>
      </c>
      <c r="I205">
        <f ca="1">IF(OR(G205=-999,G205=-888,AND($AA$6="Excluded",G205&gt;=Settings!$G$2)),"",G205)</f>
        <v>30</v>
      </c>
      <c r="O205" s="46"/>
    </row>
    <row r="206" spans="1:15" x14ac:dyDescent="0.2">
      <c r="A206" s="1">
        <v>201</v>
      </c>
      <c r="B206" t="str">
        <f>IF(ISERROR(MATCH(TRIM('Data Table'!D203),Settings!$G$15:$G$20,0)),TRIM('Data Table'!D203),LOOKUP(TRIM('Data Table'!D203),Settings!$G$15:$G$20,Settings!$H$15:$H$20))</f>
        <v>Rowan</v>
      </c>
      <c r="C206" t="str">
        <f>IF('Data Table'!F203="","SS",IF('Data Table'!F203="SF","SD",TRIM('Data Table'!F203)))</f>
        <v>SD</v>
      </c>
      <c r="D206" s="106">
        <f ca="1">IF(ISBLANK(OFFSET('Data Table'!$A201,2,Settings!$G$5-1)),"",OFFSET('Data Table'!$A201,2,Settings!$G$5-1))</f>
        <v>6.2</v>
      </c>
      <c r="E206" s="106" t="str">
        <f ca="1">IF(ISBLANK(OFFSET('Data Table'!$A201,2,Settings!$G$5)),"",OFFSET('Data Table'!$A201,2,Settings!$G$5))</f>
        <v/>
      </c>
      <c r="F206" s="143" t="str">
        <f ca="1">IF(ISBLANK(OFFSET('Data Table'!$A201,2,Settings!$G$5+1)),"",OFFSET('Data Table'!$A201,2,Settings!$G$5+1))</f>
        <v/>
      </c>
      <c r="G206">
        <f t="shared" ca="1" si="3"/>
        <v>6.2</v>
      </c>
      <c r="H206">
        <f ca="1">IF(G206=-888,"",IF(G206=-999,Settings!$G$4,IF(AND($AA$6="Excluded",G206&gt;=Settings!$G$2),"",G206)))</f>
        <v>6.2</v>
      </c>
      <c r="I206">
        <f ca="1">IF(OR(G206=-999,G206=-888,AND($AA$6="Excluded",G206&gt;=Settings!$G$2)),"",G206)</f>
        <v>6.2</v>
      </c>
      <c r="O206" s="46"/>
    </row>
    <row r="207" spans="1:15" x14ac:dyDescent="0.2">
      <c r="A207" s="1">
        <v>202</v>
      </c>
      <c r="B207" t="str">
        <f>IF(ISERROR(MATCH(TRIM('Data Table'!D204),Settings!$G$15:$G$20,0)),TRIM('Data Table'!D204),LOOKUP(TRIM('Data Table'!D204),Settings!$G$15:$G$20,Settings!$H$15:$H$20))</f>
        <v>Brunswick</v>
      </c>
      <c r="C207" t="str">
        <f>IF('Data Table'!F204="","SS",IF('Data Table'!F204="SF","SD",TRIM('Data Table'!F204)))</f>
        <v>SS</v>
      </c>
      <c r="D207" s="106" t="str">
        <f ca="1">IF(ISBLANK(OFFSET('Data Table'!$A202,2,Settings!$G$5-1)),"",OFFSET('Data Table'!$A202,2,Settings!$G$5-1))</f>
        <v/>
      </c>
      <c r="E207" s="106" t="str">
        <f ca="1">IF(ISBLANK(OFFSET('Data Table'!$A202,2,Settings!$G$5)),"",OFFSET('Data Table'!$A202,2,Settings!$G$5))</f>
        <v/>
      </c>
      <c r="F207" s="143">
        <f ca="1">IF(ISBLANK(OFFSET('Data Table'!$A202,2,Settings!$G$5+1)),"",OFFSET('Data Table'!$A202,2,Settings!$G$5+1))</f>
        <v>20</v>
      </c>
      <c r="G207">
        <f t="shared" ca="1" si="3"/>
        <v>20</v>
      </c>
      <c r="H207">
        <f ca="1">IF(G207=-888,"",IF(G207=-999,Settings!$G$4,IF(AND($AA$6="Excluded",G207&gt;=Settings!$G$2),"",G207)))</f>
        <v>20</v>
      </c>
      <c r="I207">
        <f ca="1">IF(OR(G207=-999,G207=-888,AND($AA$6="Excluded",G207&gt;=Settings!$G$2)),"",G207)</f>
        <v>20</v>
      </c>
      <c r="O207" s="46"/>
    </row>
    <row r="208" spans="1:15" x14ac:dyDescent="0.2">
      <c r="A208" s="1">
        <v>203</v>
      </c>
      <c r="B208" t="str">
        <f>IF(ISERROR(MATCH(TRIM('Data Table'!D205),Settings!$G$15:$G$20,0)),TRIM('Data Table'!D205),LOOKUP(TRIM('Data Table'!D205),Settings!$G$15:$G$20,Settings!$H$15:$H$20))</f>
        <v>Brunswick</v>
      </c>
      <c r="C208" t="str">
        <f>IF('Data Table'!F205="","SS",IF('Data Table'!F205="SF","SD",TRIM('Data Table'!F205)))</f>
        <v>SB</v>
      </c>
      <c r="D208" s="106" t="str">
        <f ca="1">IF(ISBLANK(OFFSET('Data Table'!$A203,2,Settings!$G$5-1)),"",OFFSET('Data Table'!$A203,2,Settings!$G$5-1))</f>
        <v/>
      </c>
      <c r="E208" s="106" t="str">
        <f ca="1">IF(ISBLANK(OFFSET('Data Table'!$A203,2,Settings!$G$5)),"",OFFSET('Data Table'!$A203,2,Settings!$G$5))</f>
        <v/>
      </c>
      <c r="F208" s="143">
        <f ca="1">IF(ISBLANK(OFFSET('Data Table'!$A203,2,Settings!$G$5+1)),"",OFFSET('Data Table'!$A203,2,Settings!$G$5+1))</f>
        <v>20</v>
      </c>
      <c r="G208">
        <f t="shared" ca="1" si="3"/>
        <v>20</v>
      </c>
      <c r="H208">
        <f ca="1">IF(G208=-888,"",IF(G208=-999,Settings!$G$4,IF(AND($AA$6="Excluded",G208&gt;=Settings!$G$2),"",G208)))</f>
        <v>20</v>
      </c>
      <c r="I208">
        <f ca="1">IF(OR(G208=-999,G208=-888,AND($AA$6="Excluded",G208&gt;=Settings!$G$2)),"",G208)</f>
        <v>20</v>
      </c>
      <c r="O208" s="46"/>
    </row>
    <row r="209" spans="1:15" x14ac:dyDescent="0.2">
      <c r="A209" s="1">
        <v>204</v>
      </c>
      <c r="B209" t="str">
        <f>IF(ISERROR(MATCH(TRIM('Data Table'!D206),Settings!$G$15:$G$20,0)),TRIM('Data Table'!D206),LOOKUP(TRIM('Data Table'!D206),Settings!$G$15:$G$20,Settings!$H$15:$H$20))</f>
        <v>Alamance</v>
      </c>
      <c r="C209" t="str">
        <f>IF('Data Table'!F206="","SS",IF('Data Table'!F206="SF","SD",TRIM('Data Table'!F206)))</f>
        <v>SS</v>
      </c>
      <c r="D209" s="106">
        <f ca="1">IF(ISBLANK(OFFSET('Data Table'!$A204,2,Settings!$G$5-1)),"",OFFSET('Data Table'!$A204,2,Settings!$G$5-1))</f>
        <v>20</v>
      </c>
      <c r="E209" s="106" t="str">
        <f ca="1">IF(ISBLANK(OFFSET('Data Table'!$A204,2,Settings!$G$5)),"",OFFSET('Data Table'!$A204,2,Settings!$G$5))</f>
        <v/>
      </c>
      <c r="F209" s="143" t="str">
        <f ca="1">IF(ISBLANK(OFFSET('Data Table'!$A204,2,Settings!$G$5+1)),"",OFFSET('Data Table'!$A204,2,Settings!$G$5+1))</f>
        <v/>
      </c>
      <c r="G209">
        <f t="shared" ca="1" si="3"/>
        <v>20</v>
      </c>
      <c r="H209">
        <f ca="1">IF(G209=-888,"",IF(G209=-999,Settings!$G$4,IF(AND($AA$6="Excluded",G209&gt;=Settings!$G$2),"",G209)))</f>
        <v>20</v>
      </c>
      <c r="I209">
        <f ca="1">IF(OR(G209=-999,G209=-888,AND($AA$6="Excluded",G209&gt;=Settings!$G$2)),"",G209)</f>
        <v>20</v>
      </c>
      <c r="O209" s="46"/>
    </row>
    <row r="210" spans="1:15" x14ac:dyDescent="0.2">
      <c r="A210" s="1">
        <v>205</v>
      </c>
      <c r="B210" t="str">
        <f>IF(ISERROR(MATCH(TRIM('Data Table'!D207),Settings!$G$15:$G$20,0)),TRIM('Data Table'!D207),LOOKUP(TRIM('Data Table'!D207),Settings!$G$15:$G$20,Settings!$H$15:$H$20))</f>
        <v>Alamance</v>
      </c>
      <c r="C210" t="str">
        <f>IF('Data Table'!F207="","SS",IF('Data Table'!F207="SF","SD",TRIM('Data Table'!F207)))</f>
        <v>SB</v>
      </c>
      <c r="D210" s="106" t="str">
        <f ca="1">IF(ISBLANK(OFFSET('Data Table'!$A205,2,Settings!$G$5-1)),"",OFFSET('Data Table'!$A205,2,Settings!$G$5-1))</f>
        <v>#</v>
      </c>
      <c r="E210" s="106" t="str">
        <f ca="1">IF(ISBLANK(OFFSET('Data Table'!$A205,2,Settings!$G$5)),"",OFFSET('Data Table'!$A205,2,Settings!$G$5))</f>
        <v/>
      </c>
      <c r="F210" s="143" t="str">
        <f ca="1">IF(ISBLANK(OFFSET('Data Table'!$A205,2,Settings!$G$5+1)),"",OFFSET('Data Table'!$A205,2,Settings!$G$5+1))</f>
        <v/>
      </c>
      <c r="G210">
        <f t="shared" ca="1" si="3"/>
        <v>-999</v>
      </c>
      <c r="H210">
        <f ca="1">IF(G210=-888,"",IF(G210=-999,Settings!$G$4,IF(AND($AA$6="Excluded",G210&gt;=Settings!$G$2),"",G210)))</f>
        <v>5.0000000000000001E-3</v>
      </c>
      <c r="I210" t="str">
        <f ca="1">IF(OR(G210=-999,G210=-888,AND($AA$6="Excluded",G210&gt;=Settings!$G$2)),"",G210)</f>
        <v/>
      </c>
      <c r="O210" s="46"/>
    </row>
    <row r="211" spans="1:15" x14ac:dyDescent="0.2">
      <c r="A211" s="1">
        <v>206</v>
      </c>
      <c r="B211" t="str">
        <f>IF(ISERROR(MATCH(TRIM('Data Table'!D208),Settings!$G$15:$G$20,0)),TRIM('Data Table'!D208),LOOKUP(TRIM('Data Table'!D208),Settings!$G$15:$G$20,Settings!$H$15:$H$20))</f>
        <v>Alexander</v>
      </c>
      <c r="C211" t="str">
        <f>IF('Data Table'!F208="","SS",IF('Data Table'!F208="SF","SD",TRIM('Data Table'!F208)))</f>
        <v>SS</v>
      </c>
      <c r="D211" s="106" t="str">
        <f ca="1">IF(ISBLANK(OFFSET('Data Table'!$A206,2,Settings!$G$5-1)),"",OFFSET('Data Table'!$A206,2,Settings!$G$5-1))</f>
        <v/>
      </c>
      <c r="E211" s="106">
        <f ca="1">IF(ISBLANK(OFFSET('Data Table'!$A206,2,Settings!$G$5)),"",OFFSET('Data Table'!$A206,2,Settings!$G$5))</f>
        <v>56.16</v>
      </c>
      <c r="F211" s="143" t="str">
        <f ca="1">IF(ISBLANK(OFFSET('Data Table'!$A206,2,Settings!$G$5+1)),"",OFFSET('Data Table'!$A206,2,Settings!$G$5+1))</f>
        <v/>
      </c>
      <c r="G211">
        <f t="shared" ca="1" si="3"/>
        <v>56.16</v>
      </c>
      <c r="H211">
        <f ca="1">IF(G211=-888,"",IF(G211=-999,Settings!$G$4,IF(AND($AA$6="Excluded",G211&gt;=Settings!$G$2),"",G211)))</f>
        <v>56.16</v>
      </c>
      <c r="I211">
        <f ca="1">IF(OR(G211=-999,G211=-888,AND($AA$6="Excluded",G211&gt;=Settings!$G$2)),"",G211)</f>
        <v>56.16</v>
      </c>
      <c r="O211" s="46"/>
    </row>
    <row r="212" spans="1:15" x14ac:dyDescent="0.2">
      <c r="A212" s="1">
        <v>207</v>
      </c>
      <c r="B212" t="str">
        <f>IF(ISERROR(MATCH(TRIM('Data Table'!D209),Settings!$G$15:$G$20,0)),TRIM('Data Table'!D209),LOOKUP(TRIM('Data Table'!D209),Settings!$G$15:$G$20,Settings!$H$15:$H$20))</f>
        <v>Alexander</v>
      </c>
      <c r="C212" t="str">
        <f>IF('Data Table'!F209="","SS",IF('Data Table'!F209="SF","SD",TRIM('Data Table'!F209)))</f>
        <v>SB</v>
      </c>
      <c r="D212" s="106" t="str">
        <f ca="1">IF(ISBLANK(OFFSET('Data Table'!$A207,2,Settings!$G$5-1)),"",OFFSET('Data Table'!$A207,2,Settings!$G$5-1))</f>
        <v/>
      </c>
      <c r="E212" s="106">
        <f ca="1">IF(ISBLANK(OFFSET('Data Table'!$A207,2,Settings!$G$5)),"",OFFSET('Data Table'!$A207,2,Settings!$G$5))</f>
        <v>64.8</v>
      </c>
      <c r="F212" s="143" t="str">
        <f ca="1">IF(ISBLANK(OFFSET('Data Table'!$A207,2,Settings!$G$5+1)),"",OFFSET('Data Table'!$A207,2,Settings!$G$5+1))</f>
        <v/>
      </c>
      <c r="G212">
        <f t="shared" ca="1" si="3"/>
        <v>64.8</v>
      </c>
      <c r="H212">
        <f ca="1">IF(G212=-888,"",IF(G212=-999,Settings!$G$4,IF(AND($AA$6="Excluded",G212&gt;=Settings!$G$2),"",G212)))</f>
        <v>64.8</v>
      </c>
      <c r="I212">
        <f ca="1">IF(OR(G212=-999,G212=-888,AND($AA$6="Excluded",G212&gt;=Settings!$G$2)),"",G212)</f>
        <v>64.8</v>
      </c>
      <c r="O212" s="46"/>
    </row>
    <row r="213" spans="1:15" x14ac:dyDescent="0.2">
      <c r="A213" s="1">
        <v>208</v>
      </c>
      <c r="B213" t="str">
        <f>IF(ISERROR(MATCH(TRIM('Data Table'!D210),Settings!$G$15:$G$20,0)),TRIM('Data Table'!D210),LOOKUP(TRIM('Data Table'!D210),Settings!$G$15:$G$20,Settings!$H$15:$H$20))</f>
        <v>Alexander</v>
      </c>
      <c r="C213" t="str">
        <f>IF('Data Table'!F210="","SS",IF('Data Table'!F210="SF","SD",TRIM('Data Table'!F210)))</f>
        <v>SD</v>
      </c>
      <c r="D213" s="106" t="str">
        <f ca="1">IF(ISBLANK(OFFSET('Data Table'!$A208,2,Settings!$G$5-1)),"",OFFSET('Data Table'!$A208,2,Settings!$G$5-1))</f>
        <v/>
      </c>
      <c r="E213" s="106">
        <f ca="1">IF(ISBLANK(OFFSET('Data Table'!$A208,2,Settings!$G$5)),"",OFFSET('Data Table'!$A208,2,Settings!$G$5))</f>
        <v>12.383999999999999</v>
      </c>
      <c r="F213" s="143" t="str">
        <f ca="1">IF(ISBLANK(OFFSET('Data Table'!$A208,2,Settings!$G$5+1)),"",OFFSET('Data Table'!$A208,2,Settings!$G$5+1))</f>
        <v/>
      </c>
      <c r="G213">
        <f t="shared" ca="1" si="3"/>
        <v>12.383999999999999</v>
      </c>
      <c r="H213">
        <f ca="1">IF(G213=-888,"",IF(G213=-999,Settings!$G$4,IF(AND($AA$6="Excluded",G213&gt;=Settings!$G$2),"",G213)))</f>
        <v>12.383999999999999</v>
      </c>
      <c r="I213">
        <f ca="1">IF(OR(G213=-999,G213=-888,AND($AA$6="Excluded",G213&gt;=Settings!$G$2)),"",G213)</f>
        <v>12.383999999999999</v>
      </c>
      <c r="O213" s="46"/>
    </row>
    <row r="214" spans="1:15" x14ac:dyDescent="0.2">
      <c r="A214" s="1">
        <v>209</v>
      </c>
      <c r="B214" t="str">
        <f>IF(ISERROR(MATCH(TRIM('Data Table'!D211),Settings!$G$15:$G$20,0)),TRIM('Data Table'!D211),LOOKUP(TRIM('Data Table'!D211),Settings!$G$15:$G$20,Settings!$H$15:$H$20))</f>
        <v>Pitt</v>
      </c>
      <c r="C214" t="str">
        <f>IF('Data Table'!F211="","SS",IF('Data Table'!F211="SF","SD",TRIM('Data Table'!F211)))</f>
        <v>SS</v>
      </c>
      <c r="D214" s="106" t="str">
        <f ca="1">IF(ISBLANK(OFFSET('Data Table'!$A209,2,Settings!$G$5-1)),"",OFFSET('Data Table'!$A209,2,Settings!$G$5-1))</f>
        <v/>
      </c>
      <c r="E214" s="106">
        <f ca="1">IF(ISBLANK(OFFSET('Data Table'!$A209,2,Settings!$G$5)),"",OFFSET('Data Table'!$A209,2,Settings!$G$5))</f>
        <v>13.103999999999999</v>
      </c>
      <c r="F214" s="143" t="str">
        <f ca="1">IF(ISBLANK(OFFSET('Data Table'!$A209,2,Settings!$G$5+1)),"",OFFSET('Data Table'!$A209,2,Settings!$G$5+1))</f>
        <v/>
      </c>
      <c r="G214">
        <f t="shared" ca="1" si="3"/>
        <v>13.103999999999999</v>
      </c>
      <c r="H214">
        <f ca="1">IF(G214=-888,"",IF(G214=-999,Settings!$G$4,IF(AND($AA$6="Excluded",G214&gt;=Settings!$G$2),"",G214)))</f>
        <v>13.103999999999999</v>
      </c>
      <c r="I214">
        <f ca="1">IF(OR(G214=-999,G214=-888,AND($AA$6="Excluded",G214&gt;=Settings!$G$2)),"",G214)</f>
        <v>13.103999999999999</v>
      </c>
      <c r="O214" s="46"/>
    </row>
    <row r="215" spans="1:15" x14ac:dyDescent="0.2">
      <c r="A215" s="1">
        <v>210</v>
      </c>
      <c r="B215" t="str">
        <f>IF(ISERROR(MATCH(TRIM('Data Table'!D212),Settings!$G$15:$G$20,0)),TRIM('Data Table'!D212),LOOKUP(TRIM('Data Table'!D212),Settings!$G$15:$G$20,Settings!$H$15:$H$20))</f>
        <v>Pitt</v>
      </c>
      <c r="C215" t="str">
        <f>IF('Data Table'!F212="","SS",IF('Data Table'!F212="SF","SD",TRIM('Data Table'!F212)))</f>
        <v>SB</v>
      </c>
      <c r="D215" s="106" t="str">
        <f ca="1">IF(ISBLANK(OFFSET('Data Table'!$A210,2,Settings!$G$5-1)),"",OFFSET('Data Table'!$A210,2,Settings!$G$5-1))</f>
        <v/>
      </c>
      <c r="E215" s="106">
        <f ca="1">IF(ISBLANK(OFFSET('Data Table'!$A210,2,Settings!$G$5)),"",OFFSET('Data Table'!$A210,2,Settings!$G$5))</f>
        <v>11.087999999999999</v>
      </c>
      <c r="F215" s="143" t="str">
        <f ca="1">IF(ISBLANK(OFFSET('Data Table'!$A210,2,Settings!$G$5+1)),"",OFFSET('Data Table'!$A210,2,Settings!$G$5+1))</f>
        <v/>
      </c>
      <c r="G215">
        <f t="shared" ca="1" si="3"/>
        <v>11.087999999999999</v>
      </c>
      <c r="H215">
        <f ca="1">IF(G215=-888,"",IF(G215=-999,Settings!$G$4,IF(AND($AA$6="Excluded",G215&gt;=Settings!$G$2),"",G215)))</f>
        <v>11.087999999999999</v>
      </c>
      <c r="I215">
        <f ca="1">IF(OR(G215=-999,G215=-888,AND($AA$6="Excluded",G215&gt;=Settings!$G$2)),"",G215)</f>
        <v>11.087999999999999</v>
      </c>
      <c r="O215" s="46"/>
    </row>
    <row r="216" spans="1:15" x14ac:dyDescent="0.2">
      <c r="A216" s="1">
        <v>211</v>
      </c>
      <c r="B216" t="str">
        <f>IF(ISERROR(MATCH(TRIM('Data Table'!D213),Settings!$G$15:$G$20,0)),TRIM('Data Table'!D213),LOOKUP(TRIM('Data Table'!D213),Settings!$G$15:$G$20,Settings!$H$15:$H$20))</f>
        <v>Pitt</v>
      </c>
      <c r="C216" t="str">
        <f>IF('Data Table'!F213="","SS",IF('Data Table'!F213="SF","SD",TRIM('Data Table'!F213)))</f>
        <v>SD</v>
      </c>
      <c r="D216" s="106" t="str">
        <f ca="1">IF(ISBLANK(OFFSET('Data Table'!$A211,2,Settings!$G$5-1)),"",OFFSET('Data Table'!$A211,2,Settings!$G$5-1))</f>
        <v/>
      </c>
      <c r="E216" s="106">
        <f ca="1">IF(ISBLANK(OFFSET('Data Table'!$A211,2,Settings!$G$5)),"",OFFSET('Data Table'!$A211,2,Settings!$G$5))</f>
        <v>34.56</v>
      </c>
      <c r="F216" s="143" t="str">
        <f ca="1">IF(ISBLANK(OFFSET('Data Table'!$A211,2,Settings!$G$5+1)),"",OFFSET('Data Table'!$A211,2,Settings!$G$5+1))</f>
        <v/>
      </c>
      <c r="G216">
        <f t="shared" ca="1" si="3"/>
        <v>34.56</v>
      </c>
      <c r="H216">
        <f ca="1">IF(G216=-888,"",IF(G216=-999,Settings!$G$4,IF(AND($AA$6="Excluded",G216&gt;=Settings!$G$2),"",G216)))</f>
        <v>34.56</v>
      </c>
      <c r="I216">
        <f ca="1">IF(OR(G216=-999,G216=-888,AND($AA$6="Excluded",G216&gt;=Settings!$G$2)),"",G216)</f>
        <v>34.56</v>
      </c>
      <c r="O216" s="46"/>
    </row>
    <row r="217" spans="1:15" x14ac:dyDescent="0.2">
      <c r="A217" s="1">
        <v>212</v>
      </c>
      <c r="B217" t="str">
        <f>IF(ISERROR(MATCH(TRIM('Data Table'!D214),Settings!$G$15:$G$20,0)),TRIM('Data Table'!D214),LOOKUP(TRIM('Data Table'!D214),Settings!$G$15:$G$20,Settings!$H$15:$H$20))</f>
        <v>Robeson</v>
      </c>
      <c r="C217" t="str">
        <f>IF('Data Table'!F214="","SS",IF('Data Table'!F214="SF","SD",TRIM('Data Table'!F214)))</f>
        <v>SS</v>
      </c>
      <c r="D217" s="106" t="str">
        <f ca="1">IF(ISBLANK(OFFSET('Data Table'!$A212,2,Settings!$G$5-1)),"",OFFSET('Data Table'!$A212,2,Settings!$G$5-1))</f>
        <v/>
      </c>
      <c r="E217" s="106">
        <f ca="1">IF(ISBLANK(OFFSET('Data Table'!$A212,2,Settings!$G$5)),"",OFFSET('Data Table'!$A212,2,Settings!$G$5))</f>
        <v>9.7919999999999998</v>
      </c>
      <c r="F217" s="143" t="str">
        <f ca="1">IF(ISBLANK(OFFSET('Data Table'!$A212,2,Settings!$G$5+1)),"",OFFSET('Data Table'!$A212,2,Settings!$G$5+1))</f>
        <v/>
      </c>
      <c r="G217">
        <f t="shared" ca="1" si="3"/>
        <v>9.7919999999999998</v>
      </c>
      <c r="H217">
        <f ca="1">IF(G217=-888,"",IF(G217=-999,Settings!$G$4,IF(AND($AA$6="Excluded",G217&gt;=Settings!$G$2),"",G217)))</f>
        <v>9.7919999999999998</v>
      </c>
      <c r="I217">
        <f ca="1">IF(OR(G217=-999,G217=-888,AND($AA$6="Excluded",G217&gt;=Settings!$G$2)),"",G217)</f>
        <v>9.7919999999999998</v>
      </c>
      <c r="O217" s="46"/>
    </row>
    <row r="218" spans="1:15" x14ac:dyDescent="0.2">
      <c r="A218" s="1">
        <v>213</v>
      </c>
      <c r="B218" t="str">
        <f>IF(ISERROR(MATCH(TRIM('Data Table'!D215),Settings!$G$15:$G$20,0)),TRIM('Data Table'!D215),LOOKUP(TRIM('Data Table'!D215),Settings!$G$15:$G$20,Settings!$H$15:$H$20))</f>
        <v>Robeson</v>
      </c>
      <c r="C218" t="str">
        <f>IF('Data Table'!F215="","SS",IF('Data Table'!F215="SF","SD",TRIM('Data Table'!F215)))</f>
        <v>SB</v>
      </c>
      <c r="D218" s="106" t="str">
        <f ca="1">IF(ISBLANK(OFFSET('Data Table'!$A213,2,Settings!$G$5-1)),"",OFFSET('Data Table'!$A213,2,Settings!$G$5-1))</f>
        <v/>
      </c>
      <c r="E218" s="106">
        <f ca="1">IF(ISBLANK(OFFSET('Data Table'!$A213,2,Settings!$G$5)),"",OFFSET('Data Table'!$A213,2,Settings!$G$5))</f>
        <v>5.1840000000000002</v>
      </c>
      <c r="F218" s="143" t="str">
        <f ca="1">IF(ISBLANK(OFFSET('Data Table'!$A213,2,Settings!$G$5+1)),"",OFFSET('Data Table'!$A213,2,Settings!$G$5+1))</f>
        <v/>
      </c>
      <c r="G218">
        <f t="shared" ca="1" si="3"/>
        <v>5.1840000000000002</v>
      </c>
      <c r="H218">
        <f ca="1">IF(G218=-888,"",IF(G218=-999,Settings!$G$4,IF(AND($AA$6="Excluded",G218&gt;=Settings!$G$2),"",G218)))</f>
        <v>5.1840000000000002</v>
      </c>
      <c r="I218">
        <f ca="1">IF(OR(G218=-999,G218=-888,AND($AA$6="Excluded",G218&gt;=Settings!$G$2)),"",G218)</f>
        <v>5.1840000000000002</v>
      </c>
      <c r="O218" s="46"/>
    </row>
    <row r="219" spans="1:15" x14ac:dyDescent="0.2">
      <c r="A219" s="1">
        <v>214</v>
      </c>
      <c r="B219" t="str">
        <f>IF(ISERROR(MATCH(TRIM('Data Table'!D216),Settings!$G$15:$G$20,0)),TRIM('Data Table'!D216),LOOKUP(TRIM('Data Table'!D216),Settings!$G$15:$G$20,Settings!$H$15:$H$20))</f>
        <v>Edgecombe</v>
      </c>
      <c r="C219" t="str">
        <f>IF('Data Table'!F216="","SS",IF('Data Table'!F216="SF","SD",TRIM('Data Table'!F216)))</f>
        <v>SB</v>
      </c>
      <c r="D219" s="106" t="str">
        <f ca="1">IF(ISBLANK(OFFSET('Data Table'!$A214,2,Settings!$G$5-1)),"",OFFSET('Data Table'!$A214,2,Settings!$G$5-1))</f>
        <v/>
      </c>
      <c r="E219" s="106" t="str">
        <f ca="1">IF(ISBLANK(OFFSET('Data Table'!$A214,2,Settings!$G$5)),"",OFFSET('Data Table'!$A214,2,Settings!$G$5))</f>
        <v/>
      </c>
      <c r="F219" s="143">
        <f ca="1">IF(ISBLANK(OFFSET('Data Table'!$A214,2,Settings!$G$5+1)),"",OFFSET('Data Table'!$A214,2,Settings!$G$5+1))</f>
        <v>20</v>
      </c>
      <c r="G219">
        <f t="shared" ca="1" si="3"/>
        <v>20</v>
      </c>
      <c r="H219">
        <f ca="1">IF(G219=-888,"",IF(G219=-999,Settings!$G$4,IF(AND($AA$6="Excluded",G219&gt;=Settings!$G$2),"",G219)))</f>
        <v>20</v>
      </c>
      <c r="I219">
        <f ca="1">IF(OR(G219=-999,G219=-888,AND($AA$6="Excluded",G219&gt;=Settings!$G$2)),"",G219)</f>
        <v>20</v>
      </c>
      <c r="O219" s="46"/>
    </row>
    <row r="220" spans="1:15" x14ac:dyDescent="0.2">
      <c r="A220" s="1">
        <v>215</v>
      </c>
      <c r="B220" t="str">
        <f>IF(ISERROR(MATCH(TRIM('Data Table'!D217),Settings!$G$15:$G$20,0)),TRIM('Data Table'!D217),LOOKUP(TRIM('Data Table'!D217),Settings!$G$15:$G$20,Settings!$H$15:$H$20))</f>
        <v>Edgecombe</v>
      </c>
      <c r="C220" t="str">
        <f>IF('Data Table'!F217="","SS",IF('Data Table'!F217="SF","SD",TRIM('Data Table'!F217)))</f>
        <v>SB</v>
      </c>
      <c r="D220" s="106" t="str">
        <f ca="1">IF(ISBLANK(OFFSET('Data Table'!$A215,2,Settings!$G$5-1)),"",OFFSET('Data Table'!$A215,2,Settings!$G$5-1))</f>
        <v/>
      </c>
      <c r="E220" s="106" t="str">
        <f ca="1">IF(ISBLANK(OFFSET('Data Table'!$A215,2,Settings!$G$5)),"",OFFSET('Data Table'!$A215,2,Settings!$G$5))</f>
        <v/>
      </c>
      <c r="F220" s="143">
        <f ca="1">IF(ISBLANK(OFFSET('Data Table'!$A215,2,Settings!$G$5+1)),"",OFFSET('Data Table'!$A215,2,Settings!$G$5+1))</f>
        <v>20</v>
      </c>
      <c r="G220">
        <f t="shared" ca="1" si="3"/>
        <v>20</v>
      </c>
      <c r="H220">
        <f ca="1">IF(G220=-888,"",IF(G220=-999,Settings!$G$4,IF(AND($AA$6="Excluded",G220&gt;=Settings!$G$2),"",G220)))</f>
        <v>20</v>
      </c>
      <c r="I220">
        <f ca="1">IF(OR(G220=-999,G220=-888,AND($AA$6="Excluded",G220&gt;=Settings!$G$2)),"",G220)</f>
        <v>20</v>
      </c>
      <c r="O220" s="46"/>
    </row>
    <row r="221" spans="1:15" x14ac:dyDescent="0.2">
      <c r="A221" s="1">
        <v>216</v>
      </c>
      <c r="B221" t="str">
        <f>IF(ISERROR(MATCH(TRIM('Data Table'!D218),Settings!$G$15:$G$20,0)),TRIM('Data Table'!D218),LOOKUP(TRIM('Data Table'!D218),Settings!$G$15:$G$20,Settings!$H$15:$H$20))</f>
        <v>Mecklenburg</v>
      </c>
      <c r="C221" t="str">
        <f>IF('Data Table'!F218="","SS",IF('Data Table'!F218="SF","SD",TRIM('Data Table'!F218)))</f>
        <v>SS</v>
      </c>
      <c r="D221" s="106">
        <f ca="1">IF(ISBLANK(OFFSET('Data Table'!$A216,2,Settings!$G$5-1)),"",OFFSET('Data Table'!$A216,2,Settings!$G$5-1))</f>
        <v>19</v>
      </c>
      <c r="E221" s="106" t="str">
        <f ca="1">IF(ISBLANK(OFFSET('Data Table'!$A216,2,Settings!$G$5)),"",OFFSET('Data Table'!$A216,2,Settings!$G$5))</f>
        <v/>
      </c>
      <c r="F221" s="143" t="str">
        <f ca="1">IF(ISBLANK(OFFSET('Data Table'!$A216,2,Settings!$G$5+1)),"",OFFSET('Data Table'!$A216,2,Settings!$G$5+1))</f>
        <v/>
      </c>
      <c r="G221">
        <f t="shared" ca="1" si="3"/>
        <v>19</v>
      </c>
      <c r="H221">
        <f ca="1">IF(G221=-888,"",IF(G221=-999,Settings!$G$4,IF(AND($AA$6="Excluded",G221&gt;=Settings!$G$2),"",G221)))</f>
        <v>19</v>
      </c>
      <c r="I221">
        <f ca="1">IF(OR(G221=-999,G221=-888,AND($AA$6="Excluded",G221&gt;=Settings!$G$2)),"",G221)</f>
        <v>19</v>
      </c>
      <c r="O221" s="46"/>
    </row>
    <row r="222" spans="1:15" x14ac:dyDescent="0.2">
      <c r="A222" s="1">
        <v>217</v>
      </c>
      <c r="B222" t="str">
        <f>IF(ISERROR(MATCH(TRIM('Data Table'!D219),Settings!$G$15:$G$20,0)),TRIM('Data Table'!D219),LOOKUP(TRIM('Data Table'!D219),Settings!$G$15:$G$20,Settings!$H$15:$H$20))</f>
        <v>Johnston</v>
      </c>
      <c r="C222" t="str">
        <f>IF('Data Table'!F219="","SS",IF('Data Table'!F219="SF","SD",TRIM('Data Table'!F219)))</f>
        <v>SS</v>
      </c>
      <c r="D222" s="106">
        <f ca="1">IF(ISBLANK(OFFSET('Data Table'!$A217,2,Settings!$G$5-1)),"",OFFSET('Data Table'!$A217,2,Settings!$G$5-1))</f>
        <v>20</v>
      </c>
      <c r="E222" s="106" t="str">
        <f ca="1">IF(ISBLANK(OFFSET('Data Table'!$A217,2,Settings!$G$5)),"",OFFSET('Data Table'!$A217,2,Settings!$G$5))</f>
        <v/>
      </c>
      <c r="F222" s="143" t="str">
        <f ca="1">IF(ISBLANK(OFFSET('Data Table'!$A217,2,Settings!$G$5+1)),"",OFFSET('Data Table'!$A217,2,Settings!$G$5+1))</f>
        <v/>
      </c>
      <c r="G222">
        <f t="shared" ca="1" si="3"/>
        <v>20</v>
      </c>
      <c r="H222">
        <f ca="1">IF(G222=-888,"",IF(G222=-999,Settings!$G$4,IF(AND($AA$6="Excluded",G222&gt;=Settings!$G$2),"",G222)))</f>
        <v>20</v>
      </c>
      <c r="I222">
        <f ca="1">IF(OR(G222=-999,G222=-888,AND($AA$6="Excluded",G222&gt;=Settings!$G$2)),"",G222)</f>
        <v>20</v>
      </c>
      <c r="O222" s="46"/>
    </row>
    <row r="223" spans="1:15" x14ac:dyDescent="0.2">
      <c r="A223" s="1">
        <v>218</v>
      </c>
      <c r="B223" t="str">
        <f>IF(ISERROR(MATCH(TRIM('Data Table'!D220),Settings!$G$15:$G$20,0)),TRIM('Data Table'!D220),LOOKUP(TRIM('Data Table'!D220),Settings!$G$15:$G$20,Settings!$H$15:$H$20))</f>
        <v>Johnston</v>
      </c>
      <c r="C223" t="str">
        <f>IF('Data Table'!F220="","SS",IF('Data Table'!F220="SF","SD",TRIM('Data Table'!F220)))</f>
        <v>SB</v>
      </c>
      <c r="D223" s="106">
        <f ca="1">IF(ISBLANK(OFFSET('Data Table'!$A218,2,Settings!$G$5-1)),"",OFFSET('Data Table'!$A218,2,Settings!$G$5-1))</f>
        <v>20</v>
      </c>
      <c r="E223" s="106" t="str">
        <f ca="1">IF(ISBLANK(OFFSET('Data Table'!$A218,2,Settings!$G$5)),"",OFFSET('Data Table'!$A218,2,Settings!$G$5))</f>
        <v/>
      </c>
      <c r="F223" s="143" t="str">
        <f ca="1">IF(ISBLANK(OFFSET('Data Table'!$A218,2,Settings!$G$5+1)),"",OFFSET('Data Table'!$A218,2,Settings!$G$5+1))</f>
        <v/>
      </c>
      <c r="G223">
        <f t="shared" ca="1" si="3"/>
        <v>20</v>
      </c>
      <c r="H223">
        <f ca="1">IF(G223=-888,"",IF(G223=-999,Settings!$G$4,IF(AND($AA$6="Excluded",G223&gt;=Settings!$G$2),"",G223)))</f>
        <v>20</v>
      </c>
      <c r="I223">
        <f ca="1">IF(OR(G223=-999,G223=-888,AND($AA$6="Excluded",G223&gt;=Settings!$G$2)),"",G223)</f>
        <v>20</v>
      </c>
      <c r="O223" s="46"/>
    </row>
    <row r="224" spans="1:15" x14ac:dyDescent="0.2">
      <c r="A224" s="1">
        <v>219</v>
      </c>
      <c r="B224" t="str">
        <f>IF(ISERROR(MATCH(TRIM('Data Table'!D221),Settings!$G$15:$G$20,0)),TRIM('Data Table'!D221),LOOKUP(TRIM('Data Table'!D221),Settings!$G$15:$G$20,Settings!$H$15:$H$20))</f>
        <v>Gaston</v>
      </c>
      <c r="C224" t="str">
        <f>IF('Data Table'!F221="","SS",IF('Data Table'!F221="SF","SD",TRIM('Data Table'!F221)))</f>
        <v>SS</v>
      </c>
      <c r="D224" s="106">
        <f ca="1">IF(ISBLANK(OFFSET('Data Table'!$A219,2,Settings!$G$5-1)),"",OFFSET('Data Table'!$A219,2,Settings!$G$5-1))</f>
        <v>16</v>
      </c>
      <c r="E224" s="106" t="str">
        <f ca="1">IF(ISBLANK(OFFSET('Data Table'!$A219,2,Settings!$G$5)),"",OFFSET('Data Table'!$A219,2,Settings!$G$5))</f>
        <v/>
      </c>
      <c r="F224" s="143" t="str">
        <f ca="1">IF(ISBLANK(OFFSET('Data Table'!$A219,2,Settings!$G$5+1)),"",OFFSET('Data Table'!$A219,2,Settings!$G$5+1))</f>
        <v/>
      </c>
      <c r="G224">
        <f t="shared" ca="1" si="3"/>
        <v>16</v>
      </c>
      <c r="H224">
        <f ca="1">IF(G224=-888,"",IF(G224=-999,Settings!$G$4,IF(AND($AA$6="Excluded",G224&gt;=Settings!$G$2),"",G224)))</f>
        <v>16</v>
      </c>
      <c r="I224">
        <f ca="1">IF(OR(G224=-999,G224=-888,AND($AA$6="Excluded",G224&gt;=Settings!$G$2)),"",G224)</f>
        <v>16</v>
      </c>
      <c r="O224" s="46"/>
    </row>
    <row r="225" spans="1:15" x14ac:dyDescent="0.2">
      <c r="A225" s="1">
        <v>220</v>
      </c>
      <c r="B225" t="str">
        <f>IF(ISERROR(MATCH(TRIM('Data Table'!D222),Settings!$G$15:$G$20,0)),TRIM('Data Table'!D222),LOOKUP(TRIM('Data Table'!D222),Settings!$G$15:$G$20,Settings!$H$15:$H$20))</f>
        <v>Iredell</v>
      </c>
      <c r="C225" t="str">
        <f>IF('Data Table'!F222="","SS",IF('Data Table'!F222="SF","SD",TRIM('Data Table'!F222)))</f>
        <v>SB</v>
      </c>
      <c r="D225" s="106">
        <f ca="1">IF(ISBLANK(OFFSET('Data Table'!$A220,2,Settings!$G$5-1)),"",OFFSET('Data Table'!$A220,2,Settings!$G$5-1))</f>
        <v>6.2</v>
      </c>
      <c r="E225" s="106" t="str">
        <f ca="1">IF(ISBLANK(OFFSET('Data Table'!$A220,2,Settings!$G$5)),"",OFFSET('Data Table'!$A220,2,Settings!$G$5))</f>
        <v/>
      </c>
      <c r="F225" s="143" t="str">
        <f ca="1">IF(ISBLANK(OFFSET('Data Table'!$A220,2,Settings!$G$5+1)),"",OFFSET('Data Table'!$A220,2,Settings!$G$5+1))</f>
        <v/>
      </c>
      <c r="G225">
        <f t="shared" ca="1" si="3"/>
        <v>6.2</v>
      </c>
      <c r="H225">
        <f ca="1">IF(G225=-888,"",IF(G225=-999,Settings!$G$4,IF(AND($AA$6="Excluded",G225&gt;=Settings!$G$2),"",G225)))</f>
        <v>6.2</v>
      </c>
      <c r="I225">
        <f ca="1">IF(OR(G225=-999,G225=-888,AND($AA$6="Excluded",G225&gt;=Settings!$G$2)),"",G225)</f>
        <v>6.2</v>
      </c>
      <c r="O225" s="46"/>
    </row>
    <row r="226" spans="1:15" x14ac:dyDescent="0.2">
      <c r="A226" s="1">
        <v>221</v>
      </c>
      <c r="B226" t="str">
        <f>IF(ISERROR(MATCH(TRIM('Data Table'!D223),Settings!$G$15:$G$20,0)),TRIM('Data Table'!D223),LOOKUP(TRIM('Data Table'!D223),Settings!$G$15:$G$20,Settings!$H$15:$H$20))</f>
        <v>Iredell</v>
      </c>
      <c r="C226" t="str">
        <f>IF('Data Table'!F223="","SS",IF('Data Table'!F223="SF","SD",TRIM('Data Table'!F223)))</f>
        <v>SB</v>
      </c>
      <c r="D226" s="106">
        <f ca="1">IF(ISBLANK(OFFSET('Data Table'!$A221,2,Settings!$G$5-1)),"",OFFSET('Data Table'!$A221,2,Settings!$G$5-1))</f>
        <v>32</v>
      </c>
      <c r="E226" s="106" t="str">
        <f ca="1">IF(ISBLANK(OFFSET('Data Table'!$A221,2,Settings!$G$5)),"",OFFSET('Data Table'!$A221,2,Settings!$G$5))</f>
        <v/>
      </c>
      <c r="F226" s="143" t="str">
        <f ca="1">IF(ISBLANK(OFFSET('Data Table'!$A221,2,Settings!$G$5+1)),"",OFFSET('Data Table'!$A221,2,Settings!$G$5+1))</f>
        <v/>
      </c>
      <c r="G226">
        <f t="shared" ca="1" si="3"/>
        <v>32</v>
      </c>
      <c r="H226">
        <f ca="1">IF(G226=-888,"",IF(G226=-999,Settings!$G$4,IF(AND($AA$6="Excluded",G226&gt;=Settings!$G$2),"",G226)))</f>
        <v>32</v>
      </c>
      <c r="I226">
        <f ca="1">IF(OR(G226=-999,G226=-888,AND($AA$6="Excluded",G226&gt;=Settings!$G$2)),"",G226)</f>
        <v>32</v>
      </c>
      <c r="O226" s="46"/>
    </row>
    <row r="227" spans="1:15" x14ac:dyDescent="0.2">
      <c r="A227" s="1">
        <v>222</v>
      </c>
      <c r="B227" t="str">
        <f>IF(ISERROR(MATCH(TRIM('Data Table'!D224),Settings!$G$15:$G$20,0)),TRIM('Data Table'!D224),LOOKUP(TRIM('Data Table'!D224),Settings!$G$15:$G$20,Settings!$H$15:$H$20))</f>
        <v>Forsyth</v>
      </c>
      <c r="C227" t="str">
        <f>IF('Data Table'!F224="","SS",IF('Data Table'!F224="SF","SD",TRIM('Data Table'!F224)))</f>
        <v>SB</v>
      </c>
      <c r="D227" s="106">
        <f ca="1">IF(ISBLANK(OFFSET('Data Table'!$A222,2,Settings!$G$5-1)),"",OFFSET('Data Table'!$A222,2,Settings!$G$5-1))</f>
        <v>620</v>
      </c>
      <c r="E227" s="106" t="str">
        <f ca="1">IF(ISBLANK(OFFSET('Data Table'!$A222,2,Settings!$G$5)),"",OFFSET('Data Table'!$A222,2,Settings!$G$5))</f>
        <v/>
      </c>
      <c r="F227" s="143" t="str">
        <f ca="1">IF(ISBLANK(OFFSET('Data Table'!$A222,2,Settings!$G$5+1)),"",OFFSET('Data Table'!$A222,2,Settings!$G$5+1))</f>
        <v/>
      </c>
      <c r="G227">
        <f t="shared" ca="1" si="3"/>
        <v>620</v>
      </c>
      <c r="H227">
        <f ca="1">IF(G227=-888,"",IF(G227=-999,Settings!$G$4,IF(AND($AA$6="Excluded",G227&gt;=Settings!$G$2),"",G227)))</f>
        <v>620</v>
      </c>
      <c r="I227">
        <f ca="1">IF(OR(G227=-999,G227=-888,AND($AA$6="Excluded",G227&gt;=Settings!$G$2)),"",G227)</f>
        <v>620</v>
      </c>
      <c r="O227" s="46"/>
    </row>
    <row r="228" spans="1:15" x14ac:dyDescent="0.2">
      <c r="A228" s="1">
        <v>223</v>
      </c>
      <c r="B228" t="str">
        <f>IF(ISERROR(MATCH(TRIM('Data Table'!D225),Settings!$G$15:$G$20,0)),TRIM('Data Table'!D225),LOOKUP(TRIM('Data Table'!D225),Settings!$G$15:$G$20,Settings!$H$15:$H$20))</f>
        <v>Lee</v>
      </c>
      <c r="C228" t="str">
        <f>IF('Data Table'!F225="","SS",IF('Data Table'!F225="SF","SD",TRIM('Data Table'!F225)))</f>
        <v>SS</v>
      </c>
      <c r="D228" s="106" t="str">
        <f ca="1">IF(ISBLANK(OFFSET('Data Table'!$A223,2,Settings!$G$5-1)),"",OFFSET('Data Table'!$A223,2,Settings!$G$5-1))</f>
        <v/>
      </c>
      <c r="E228" s="106">
        <f ca="1">IF(ISBLANK(OFFSET('Data Table'!$A223,2,Settings!$G$5)),"",OFFSET('Data Table'!$A223,2,Settings!$G$5))</f>
        <v>23.472000000000001</v>
      </c>
      <c r="F228" s="143" t="str">
        <f ca="1">IF(ISBLANK(OFFSET('Data Table'!$A223,2,Settings!$G$5+1)),"",OFFSET('Data Table'!$A223,2,Settings!$G$5+1))</f>
        <v/>
      </c>
      <c r="G228">
        <f t="shared" ca="1" si="3"/>
        <v>23.472000000000001</v>
      </c>
      <c r="H228">
        <f ca="1">IF(G228=-888,"",IF(G228=-999,Settings!$G$4,IF(AND($AA$6="Excluded",G228&gt;=Settings!$G$2),"",G228)))</f>
        <v>23.472000000000001</v>
      </c>
      <c r="I228">
        <f ca="1">IF(OR(G228=-999,G228=-888,AND($AA$6="Excluded",G228&gt;=Settings!$G$2)),"",G228)</f>
        <v>23.472000000000001</v>
      </c>
      <c r="O228" s="46"/>
    </row>
    <row r="229" spans="1:15" x14ac:dyDescent="0.2">
      <c r="A229" s="1">
        <v>224</v>
      </c>
      <c r="B229" t="str">
        <f>IF(ISERROR(MATCH(TRIM('Data Table'!D226),Settings!$G$15:$G$20,0)),TRIM('Data Table'!D226),LOOKUP(TRIM('Data Table'!D226),Settings!$G$15:$G$20,Settings!$H$15:$H$20))</f>
        <v>Lee</v>
      </c>
      <c r="C229" t="str">
        <f>IF('Data Table'!F226="","SS",IF('Data Table'!F226="SF","SD",TRIM('Data Table'!F226)))</f>
        <v>SD</v>
      </c>
      <c r="D229" s="106">
        <f ca="1">IF(ISBLANK(OFFSET('Data Table'!$A224,2,Settings!$G$5-1)),"",OFFSET('Data Table'!$A224,2,Settings!$G$5-1))</f>
        <v>20</v>
      </c>
      <c r="E229" s="106" t="str">
        <f ca="1">IF(ISBLANK(OFFSET('Data Table'!$A224,2,Settings!$G$5)),"",OFFSET('Data Table'!$A224,2,Settings!$G$5))</f>
        <v/>
      </c>
      <c r="F229" s="143" t="str">
        <f ca="1">IF(ISBLANK(OFFSET('Data Table'!$A224,2,Settings!$G$5+1)),"",OFFSET('Data Table'!$A224,2,Settings!$G$5+1))</f>
        <v/>
      </c>
      <c r="G229">
        <f t="shared" ca="1" si="3"/>
        <v>20</v>
      </c>
      <c r="H229">
        <f ca="1">IF(G229=-888,"",IF(G229=-999,Settings!$G$4,IF(AND($AA$6="Excluded",G229&gt;=Settings!$G$2),"",G229)))</f>
        <v>20</v>
      </c>
      <c r="I229">
        <f ca="1">IF(OR(G229=-999,G229=-888,AND($AA$6="Excluded",G229&gt;=Settings!$G$2)),"",G229)</f>
        <v>20</v>
      </c>
      <c r="O229" s="46"/>
    </row>
    <row r="230" spans="1:15" x14ac:dyDescent="0.2">
      <c r="A230" s="1">
        <v>225</v>
      </c>
      <c r="B230" t="str">
        <f>IF(ISERROR(MATCH(TRIM('Data Table'!D227),Settings!$G$15:$G$20,0)),TRIM('Data Table'!D227),LOOKUP(TRIM('Data Table'!D227),Settings!$G$15:$G$20,Settings!$H$15:$H$20))</f>
        <v>Forsyth</v>
      </c>
      <c r="C230" t="str">
        <f>IF('Data Table'!F227="","SS",IF('Data Table'!F227="SF","SD",TRIM('Data Table'!F227)))</f>
        <v>SS</v>
      </c>
      <c r="D230" s="106" t="str">
        <f ca="1">IF(ISBLANK(OFFSET('Data Table'!$A225,2,Settings!$G$5-1)),"",OFFSET('Data Table'!$A225,2,Settings!$G$5-1))</f>
        <v>#</v>
      </c>
      <c r="E230" s="106" t="str">
        <f ca="1">IF(ISBLANK(OFFSET('Data Table'!$A225,2,Settings!$G$5)),"",OFFSET('Data Table'!$A225,2,Settings!$G$5))</f>
        <v/>
      </c>
      <c r="F230" s="143" t="str">
        <f ca="1">IF(ISBLANK(OFFSET('Data Table'!$A225,2,Settings!$G$5+1)),"",OFFSET('Data Table'!$A225,2,Settings!$G$5+1))</f>
        <v/>
      </c>
      <c r="G230">
        <f t="shared" ca="1" si="3"/>
        <v>-999</v>
      </c>
      <c r="H230">
        <f ca="1">IF(G230=-888,"",IF(G230=-999,Settings!$G$4,IF(AND($AA$6="Excluded",G230&gt;=Settings!$G$2),"",G230)))</f>
        <v>5.0000000000000001E-3</v>
      </c>
      <c r="I230" t="str">
        <f ca="1">IF(OR(G230=-999,G230=-888,AND($AA$6="Excluded",G230&gt;=Settings!$G$2)),"",G230)</f>
        <v/>
      </c>
      <c r="O230" s="46"/>
    </row>
    <row r="231" spans="1:15" x14ac:dyDescent="0.2">
      <c r="A231" s="1">
        <v>226</v>
      </c>
      <c r="B231" t="str">
        <f>IF(ISERROR(MATCH(TRIM('Data Table'!D228),Settings!$G$15:$G$20,0)),TRIM('Data Table'!D228),LOOKUP(TRIM('Data Table'!D228),Settings!$G$15:$G$20,Settings!$H$15:$H$20))</f>
        <v>Forsyth</v>
      </c>
      <c r="C231" t="str">
        <f>IF('Data Table'!F228="","SS",IF('Data Table'!F228="SF","SD",TRIM('Data Table'!F228)))</f>
        <v>SD</v>
      </c>
      <c r="D231" s="106">
        <f ca="1">IF(ISBLANK(OFFSET('Data Table'!$A226,2,Settings!$G$5-1)),"",OFFSET('Data Table'!$A226,2,Settings!$G$5-1))</f>
        <v>19</v>
      </c>
      <c r="E231" s="106" t="str">
        <f ca="1">IF(ISBLANK(OFFSET('Data Table'!$A226,2,Settings!$G$5)),"",OFFSET('Data Table'!$A226,2,Settings!$G$5))</f>
        <v/>
      </c>
      <c r="F231" s="143" t="str">
        <f ca="1">IF(ISBLANK(OFFSET('Data Table'!$A226,2,Settings!$G$5+1)),"",OFFSET('Data Table'!$A226,2,Settings!$G$5+1))</f>
        <v/>
      </c>
      <c r="G231">
        <f t="shared" ca="1" si="3"/>
        <v>19</v>
      </c>
      <c r="H231">
        <f ca="1">IF(G231=-888,"",IF(G231=-999,Settings!$G$4,IF(AND($AA$6="Excluded",G231&gt;=Settings!$G$2),"",G231)))</f>
        <v>19</v>
      </c>
      <c r="I231">
        <f ca="1">IF(OR(G231=-999,G231=-888,AND($AA$6="Excluded",G231&gt;=Settings!$G$2)),"",G231)</f>
        <v>19</v>
      </c>
      <c r="O231" s="46"/>
    </row>
    <row r="232" spans="1:15" x14ac:dyDescent="0.2">
      <c r="A232" s="1">
        <v>227</v>
      </c>
      <c r="B232" t="str">
        <f>IF(ISERROR(MATCH(TRIM('Data Table'!D229),Settings!$G$15:$G$20,0)),TRIM('Data Table'!D229),LOOKUP(TRIM('Data Table'!D229),Settings!$G$15:$G$20,Settings!$H$15:$H$20))</f>
        <v>Lee</v>
      </c>
      <c r="C232" t="str">
        <f>IF('Data Table'!F229="","SS",IF('Data Table'!F229="SF","SD",TRIM('Data Table'!F229)))</f>
        <v>SS</v>
      </c>
      <c r="D232" s="106">
        <f ca="1">IF(ISBLANK(OFFSET('Data Table'!$A227,2,Settings!$G$5-1)),"",OFFSET('Data Table'!$A227,2,Settings!$G$5-1))</f>
        <v>9.5</v>
      </c>
      <c r="E232" s="106" t="str">
        <f ca="1">IF(ISBLANK(OFFSET('Data Table'!$A227,2,Settings!$G$5)),"",OFFSET('Data Table'!$A227,2,Settings!$G$5))</f>
        <v/>
      </c>
      <c r="F232" s="143" t="str">
        <f ca="1">IF(ISBLANK(OFFSET('Data Table'!$A227,2,Settings!$G$5+1)),"",OFFSET('Data Table'!$A227,2,Settings!$G$5+1))</f>
        <v/>
      </c>
      <c r="G232">
        <f t="shared" ca="1" si="3"/>
        <v>9.5</v>
      </c>
      <c r="H232">
        <f ca="1">IF(G232=-888,"",IF(G232=-999,Settings!$G$4,IF(AND($AA$6="Excluded",G232&gt;=Settings!$G$2),"",G232)))</f>
        <v>9.5</v>
      </c>
      <c r="I232">
        <f ca="1">IF(OR(G232=-999,G232=-888,AND($AA$6="Excluded",G232&gt;=Settings!$G$2)),"",G232)</f>
        <v>9.5</v>
      </c>
      <c r="O232" s="46"/>
    </row>
    <row r="233" spans="1:15" x14ac:dyDescent="0.2">
      <c r="A233" s="1">
        <v>228</v>
      </c>
      <c r="B233" t="str">
        <f>IF(ISERROR(MATCH(TRIM('Data Table'!D230),Settings!$G$15:$G$20,0)),TRIM('Data Table'!D230),LOOKUP(TRIM('Data Table'!D230),Settings!$G$15:$G$20,Settings!$H$15:$H$20))</f>
        <v>Craven</v>
      </c>
      <c r="C233" t="str">
        <f>IF('Data Table'!F230="","SS",IF('Data Table'!F230="SF","SD",TRIM('Data Table'!F230)))</f>
        <v>SS</v>
      </c>
      <c r="D233" s="106">
        <f ca="1">IF(ISBLANK(OFFSET('Data Table'!$A228,2,Settings!$G$5-1)),"",OFFSET('Data Table'!$A228,2,Settings!$G$5-1))</f>
        <v>28</v>
      </c>
      <c r="E233" s="106" t="str">
        <f ca="1">IF(ISBLANK(OFFSET('Data Table'!$A228,2,Settings!$G$5)),"",OFFSET('Data Table'!$A228,2,Settings!$G$5))</f>
        <v/>
      </c>
      <c r="F233" s="143" t="str">
        <f ca="1">IF(ISBLANK(OFFSET('Data Table'!$A228,2,Settings!$G$5+1)),"",OFFSET('Data Table'!$A228,2,Settings!$G$5+1))</f>
        <v/>
      </c>
      <c r="G233">
        <f t="shared" ca="1" si="3"/>
        <v>28</v>
      </c>
      <c r="H233">
        <f ca="1">IF(G233=-888,"",IF(G233=-999,Settings!$G$4,IF(AND($AA$6="Excluded",G233&gt;=Settings!$G$2),"",G233)))</f>
        <v>28</v>
      </c>
      <c r="I233">
        <f ca="1">IF(OR(G233=-999,G233=-888,AND($AA$6="Excluded",G233&gt;=Settings!$G$2)),"",G233)</f>
        <v>28</v>
      </c>
      <c r="O233" s="46"/>
    </row>
    <row r="234" spans="1:15" x14ac:dyDescent="0.2">
      <c r="A234" s="1">
        <v>229</v>
      </c>
      <c r="B234" t="str">
        <f>IF(ISERROR(MATCH(TRIM('Data Table'!D231),Settings!$G$15:$G$20,0)),TRIM('Data Table'!D231),LOOKUP(TRIM('Data Table'!D231),Settings!$G$15:$G$20,Settings!$H$15:$H$20))</f>
        <v>Craven</v>
      </c>
      <c r="C234" t="str">
        <f>IF('Data Table'!F231="","SS",IF('Data Table'!F231="SF","SD",TRIM('Data Table'!F231)))</f>
        <v>SB</v>
      </c>
      <c r="D234" s="106">
        <f ca="1">IF(ISBLANK(OFFSET('Data Table'!$A229,2,Settings!$G$5-1)),"",OFFSET('Data Table'!$A229,2,Settings!$G$5-1))</f>
        <v>10</v>
      </c>
      <c r="E234" s="106" t="str">
        <f ca="1">IF(ISBLANK(OFFSET('Data Table'!$A229,2,Settings!$G$5)),"",OFFSET('Data Table'!$A229,2,Settings!$G$5))</f>
        <v/>
      </c>
      <c r="F234" s="143" t="str">
        <f ca="1">IF(ISBLANK(OFFSET('Data Table'!$A229,2,Settings!$G$5+1)),"",OFFSET('Data Table'!$A229,2,Settings!$G$5+1))</f>
        <v/>
      </c>
      <c r="G234">
        <f t="shared" ca="1" si="3"/>
        <v>10</v>
      </c>
      <c r="H234">
        <f ca="1">IF(G234=-888,"",IF(G234=-999,Settings!$G$4,IF(AND($AA$6="Excluded",G234&gt;=Settings!$G$2),"",G234)))</f>
        <v>10</v>
      </c>
      <c r="I234">
        <f ca="1">IF(OR(G234=-999,G234=-888,AND($AA$6="Excluded",G234&gt;=Settings!$G$2)),"",G234)</f>
        <v>10</v>
      </c>
      <c r="O234" s="46"/>
    </row>
    <row r="235" spans="1:15" x14ac:dyDescent="0.2">
      <c r="A235" s="1">
        <v>230</v>
      </c>
      <c r="B235" t="str">
        <f>IF(ISERROR(MATCH(TRIM('Data Table'!D232),Settings!$G$15:$G$20,0)),TRIM('Data Table'!D232),LOOKUP(TRIM('Data Table'!D232),Settings!$G$15:$G$20,Settings!$H$15:$H$20))</f>
        <v>Craven</v>
      </c>
      <c r="C235" t="str">
        <f>IF('Data Table'!F232="","SS",IF('Data Table'!F232="SF","SD",TRIM('Data Table'!F232)))</f>
        <v>SD</v>
      </c>
      <c r="D235" s="106">
        <f ca="1">IF(ISBLANK(OFFSET('Data Table'!$A230,2,Settings!$G$5-1)),"",OFFSET('Data Table'!$A230,2,Settings!$G$5-1))</f>
        <v>43</v>
      </c>
      <c r="E235" s="106" t="str">
        <f ca="1">IF(ISBLANK(OFFSET('Data Table'!$A230,2,Settings!$G$5)),"",OFFSET('Data Table'!$A230,2,Settings!$G$5))</f>
        <v/>
      </c>
      <c r="F235" s="143" t="str">
        <f ca="1">IF(ISBLANK(OFFSET('Data Table'!$A230,2,Settings!$G$5+1)),"",OFFSET('Data Table'!$A230,2,Settings!$G$5+1))</f>
        <v/>
      </c>
      <c r="G235">
        <f t="shared" ca="1" si="3"/>
        <v>43</v>
      </c>
      <c r="H235">
        <f ca="1">IF(G235=-888,"",IF(G235=-999,Settings!$G$4,IF(AND($AA$6="Excluded",G235&gt;=Settings!$G$2),"",G235)))</f>
        <v>43</v>
      </c>
      <c r="I235">
        <f ca="1">IF(OR(G235=-999,G235=-888,AND($AA$6="Excluded",G235&gt;=Settings!$G$2)),"",G235)</f>
        <v>43</v>
      </c>
      <c r="O235" s="46"/>
    </row>
    <row r="236" spans="1:15" x14ac:dyDescent="0.2">
      <c r="A236" s="1">
        <v>231</v>
      </c>
      <c r="B236" t="str">
        <f>IF(ISERROR(MATCH(TRIM('Data Table'!D233),Settings!$G$15:$G$20,0)),TRIM('Data Table'!D233),LOOKUP(TRIM('Data Table'!D233),Settings!$G$15:$G$20,Settings!$H$15:$H$20))</f>
        <v>Cabarrus</v>
      </c>
      <c r="C236" t="str">
        <f>IF('Data Table'!F233="","SS",IF('Data Table'!F233="SF","SD",TRIM('Data Table'!F233)))</f>
        <v>SD</v>
      </c>
      <c r="D236" s="106">
        <f ca="1">IF(ISBLANK(OFFSET('Data Table'!$A231,2,Settings!$G$5-1)),"",OFFSET('Data Table'!$A231,2,Settings!$G$5-1))</f>
        <v>20</v>
      </c>
      <c r="E236" s="106" t="str">
        <f ca="1">IF(ISBLANK(OFFSET('Data Table'!$A231,2,Settings!$G$5)),"",OFFSET('Data Table'!$A231,2,Settings!$G$5))</f>
        <v/>
      </c>
      <c r="F236" s="143" t="str">
        <f ca="1">IF(ISBLANK(OFFSET('Data Table'!$A231,2,Settings!$G$5+1)),"",OFFSET('Data Table'!$A231,2,Settings!$G$5+1))</f>
        <v/>
      </c>
      <c r="G236">
        <f t="shared" ca="1" si="3"/>
        <v>20</v>
      </c>
      <c r="H236">
        <f ca="1">IF(G236=-888,"",IF(G236=-999,Settings!$G$4,IF(AND($AA$6="Excluded",G236&gt;=Settings!$G$2),"",G236)))</f>
        <v>20</v>
      </c>
      <c r="I236">
        <f ca="1">IF(OR(G236=-999,G236=-888,AND($AA$6="Excluded",G236&gt;=Settings!$G$2)),"",G236)</f>
        <v>20</v>
      </c>
      <c r="O236" s="46"/>
    </row>
    <row r="237" spans="1:15" x14ac:dyDescent="0.2">
      <c r="A237" s="1">
        <v>232</v>
      </c>
      <c r="B237" t="str">
        <f>IF(ISERROR(MATCH(TRIM('Data Table'!D234),Settings!$G$15:$G$20,0)),TRIM('Data Table'!D234),LOOKUP(TRIM('Data Table'!D234),Settings!$G$15:$G$20,Settings!$H$15:$H$20))</f>
        <v>Wilson</v>
      </c>
      <c r="C237" t="str">
        <f>IF('Data Table'!F234="","SS",IF('Data Table'!F234="SF","SD",TRIM('Data Table'!F234)))</f>
        <v>SS</v>
      </c>
      <c r="D237" s="106" t="str">
        <f ca="1">IF(ISBLANK(OFFSET('Data Table'!$A232,2,Settings!$G$5-1)),"",OFFSET('Data Table'!$A232,2,Settings!$G$5-1))</f>
        <v/>
      </c>
      <c r="E237" s="106" t="str">
        <f ca="1">IF(ISBLANK(OFFSET('Data Table'!$A232,2,Settings!$G$5)),"",OFFSET('Data Table'!$A232,2,Settings!$G$5))</f>
        <v/>
      </c>
      <c r="F237" s="143">
        <f ca="1">IF(ISBLANK(OFFSET('Data Table'!$A232,2,Settings!$G$5+1)),"",OFFSET('Data Table'!$A232,2,Settings!$G$5+1))</f>
        <v>5</v>
      </c>
      <c r="G237">
        <f t="shared" ca="1" si="3"/>
        <v>5</v>
      </c>
      <c r="H237">
        <f ca="1">IF(G237=-888,"",IF(G237=-999,Settings!$G$4,IF(AND($AA$6="Excluded",G237&gt;=Settings!$G$2),"",G237)))</f>
        <v>5</v>
      </c>
      <c r="I237">
        <f ca="1">IF(OR(G237=-999,G237=-888,AND($AA$6="Excluded",G237&gt;=Settings!$G$2)),"",G237)</f>
        <v>5</v>
      </c>
      <c r="O237" s="46"/>
    </row>
    <row r="238" spans="1:15" x14ac:dyDescent="0.2">
      <c r="A238" s="1">
        <v>233</v>
      </c>
      <c r="B238" t="str">
        <f>IF(ISERROR(MATCH(TRIM('Data Table'!D235),Settings!$G$15:$G$20,0)),TRIM('Data Table'!D235),LOOKUP(TRIM('Data Table'!D235),Settings!$G$15:$G$20,Settings!$H$15:$H$20))</f>
        <v>Onslow</v>
      </c>
      <c r="C238" t="str">
        <f>IF('Data Table'!F235="","SS",IF('Data Table'!F235="SF","SD",TRIM('Data Table'!F235)))</f>
        <v>SS</v>
      </c>
      <c r="D238" s="106">
        <f ca="1">IF(ISBLANK(OFFSET('Data Table'!$A233,2,Settings!$G$5-1)),"",OFFSET('Data Table'!$A233,2,Settings!$G$5-1))</f>
        <v>33</v>
      </c>
      <c r="E238" s="106" t="str">
        <f ca="1">IF(ISBLANK(OFFSET('Data Table'!$A233,2,Settings!$G$5)),"",OFFSET('Data Table'!$A233,2,Settings!$G$5))</f>
        <v/>
      </c>
      <c r="F238" s="143" t="str">
        <f ca="1">IF(ISBLANK(OFFSET('Data Table'!$A233,2,Settings!$G$5+1)),"",OFFSET('Data Table'!$A233,2,Settings!$G$5+1))</f>
        <v/>
      </c>
      <c r="G238">
        <f t="shared" ca="1" si="3"/>
        <v>33</v>
      </c>
      <c r="H238">
        <f ca="1">IF(G238=-888,"",IF(G238=-999,Settings!$G$4,IF(AND($AA$6="Excluded",G238&gt;=Settings!$G$2),"",G238)))</f>
        <v>33</v>
      </c>
      <c r="I238">
        <f ca="1">IF(OR(G238=-999,G238=-888,AND($AA$6="Excluded",G238&gt;=Settings!$G$2)),"",G238)</f>
        <v>33</v>
      </c>
      <c r="O238" s="46"/>
    </row>
    <row r="239" spans="1:15" x14ac:dyDescent="0.2">
      <c r="A239" s="1">
        <v>234</v>
      </c>
      <c r="B239" t="str">
        <f>IF(ISERROR(MATCH(TRIM('Data Table'!D236),Settings!$G$15:$G$20,0)),TRIM('Data Table'!D236),LOOKUP(TRIM('Data Table'!D236),Settings!$G$15:$G$20,Settings!$H$15:$H$20))</f>
        <v>Chatham</v>
      </c>
      <c r="C239" t="str">
        <f>IF('Data Table'!F236="","SS",IF('Data Table'!F236="SF","SD",TRIM('Data Table'!F236)))</f>
        <v>SD</v>
      </c>
      <c r="D239" s="106">
        <f ca="1">IF(ISBLANK(OFFSET('Data Table'!$A234,2,Settings!$G$5-1)),"",OFFSET('Data Table'!$A234,2,Settings!$G$5-1))</f>
        <v>10.9</v>
      </c>
      <c r="E239" s="106" t="str">
        <f ca="1">IF(ISBLANK(OFFSET('Data Table'!$A234,2,Settings!$G$5)),"",OFFSET('Data Table'!$A234,2,Settings!$G$5))</f>
        <v/>
      </c>
      <c r="F239" s="143" t="str">
        <f ca="1">IF(ISBLANK(OFFSET('Data Table'!$A234,2,Settings!$G$5+1)),"",OFFSET('Data Table'!$A234,2,Settings!$G$5+1))</f>
        <v/>
      </c>
      <c r="G239">
        <f t="shared" ca="1" si="3"/>
        <v>10.9</v>
      </c>
      <c r="H239">
        <f ca="1">IF(G239=-888,"",IF(G239=-999,Settings!$G$4,IF(AND($AA$6="Excluded",G239&gt;=Settings!$G$2),"",G239)))</f>
        <v>10.9</v>
      </c>
      <c r="I239">
        <f ca="1">IF(OR(G239=-999,G239=-888,AND($AA$6="Excluded",G239&gt;=Settings!$G$2)),"",G239)</f>
        <v>10.9</v>
      </c>
      <c r="O239" s="46"/>
    </row>
    <row r="240" spans="1:15" x14ac:dyDescent="0.2">
      <c r="A240" s="1">
        <v>235</v>
      </c>
      <c r="B240" t="str">
        <f>IF(ISERROR(MATCH(TRIM('Data Table'!D237),Settings!$G$15:$G$20,0)),TRIM('Data Table'!D237),LOOKUP(TRIM('Data Table'!D237),Settings!$G$15:$G$20,Settings!$H$15:$H$20))</f>
        <v>Buncombe</v>
      </c>
      <c r="C240" t="str">
        <f>IF('Data Table'!F237="","SS",IF('Data Table'!F237="SF","SD",TRIM('Data Table'!F237)))</f>
        <v>SS</v>
      </c>
      <c r="D240" s="106" t="str">
        <f ca="1">IF(ISBLANK(OFFSET('Data Table'!$A235,2,Settings!$G$5-1)),"",OFFSET('Data Table'!$A235,2,Settings!$G$5-1))</f>
        <v/>
      </c>
      <c r="E240" s="106" t="str">
        <f ca="1">IF(ISBLANK(OFFSET('Data Table'!$A235,2,Settings!$G$5)),"",OFFSET('Data Table'!$A235,2,Settings!$G$5))</f>
        <v/>
      </c>
      <c r="F240" s="143">
        <f ca="1">IF(ISBLANK(OFFSET('Data Table'!$A235,2,Settings!$G$5+1)),"",OFFSET('Data Table'!$A235,2,Settings!$G$5+1))</f>
        <v>20</v>
      </c>
      <c r="G240">
        <f t="shared" ca="1" si="3"/>
        <v>20</v>
      </c>
      <c r="H240">
        <f ca="1">IF(G240=-888,"",IF(G240=-999,Settings!$G$4,IF(AND($AA$6="Excluded",G240&gt;=Settings!$G$2),"",G240)))</f>
        <v>20</v>
      </c>
      <c r="I240">
        <f ca="1">IF(OR(G240=-999,G240=-888,AND($AA$6="Excluded",G240&gt;=Settings!$G$2)),"",G240)</f>
        <v>20</v>
      </c>
      <c r="O240" s="46"/>
    </row>
    <row r="241" spans="1:15" x14ac:dyDescent="0.2">
      <c r="A241" s="1">
        <v>236</v>
      </c>
      <c r="B241" t="str">
        <f>IF(ISERROR(MATCH(TRIM('Data Table'!D238),Settings!$G$15:$G$20,0)),TRIM('Data Table'!D238),LOOKUP(TRIM('Data Table'!D238),Settings!$G$15:$G$20,Settings!$H$15:$H$20))</f>
        <v>Beaufort</v>
      </c>
      <c r="C241" t="str">
        <f>IF('Data Table'!F238="","SS",IF('Data Table'!F238="SF","SD",TRIM('Data Table'!F238)))</f>
        <v>SD</v>
      </c>
      <c r="D241" s="106">
        <f ca="1">IF(ISBLANK(OFFSET('Data Table'!$A236,2,Settings!$G$5-1)),"",OFFSET('Data Table'!$A236,2,Settings!$G$5-1))</f>
        <v>67.7</v>
      </c>
      <c r="E241" s="106" t="str">
        <f ca="1">IF(ISBLANK(OFFSET('Data Table'!$A236,2,Settings!$G$5)),"",OFFSET('Data Table'!$A236,2,Settings!$G$5))</f>
        <v/>
      </c>
      <c r="F241" s="143" t="str">
        <f ca="1">IF(ISBLANK(OFFSET('Data Table'!$A236,2,Settings!$G$5+1)),"",OFFSET('Data Table'!$A236,2,Settings!$G$5+1))</f>
        <v/>
      </c>
      <c r="G241">
        <f t="shared" ca="1" si="3"/>
        <v>67.7</v>
      </c>
      <c r="H241">
        <f ca="1">IF(G241=-888,"",IF(G241=-999,Settings!$G$4,IF(AND($AA$6="Excluded",G241&gt;=Settings!$G$2),"",G241)))</f>
        <v>67.7</v>
      </c>
      <c r="I241">
        <f ca="1">IF(OR(G241=-999,G241=-888,AND($AA$6="Excluded",G241&gt;=Settings!$G$2)),"",G241)</f>
        <v>67.7</v>
      </c>
      <c r="O241" s="46"/>
    </row>
    <row r="242" spans="1:15" x14ac:dyDescent="0.2">
      <c r="A242" s="1">
        <v>237</v>
      </c>
      <c r="B242" t="str">
        <f>IF(ISERROR(MATCH(TRIM('Data Table'!D239),Settings!$G$15:$G$20,0)),TRIM('Data Table'!D239),LOOKUP(TRIM('Data Table'!D239),Settings!$G$15:$G$20,Settings!$H$15:$H$20))</f>
        <v>Mecklenburg</v>
      </c>
      <c r="C242" t="str">
        <f>IF('Data Table'!F239="","SS",IF('Data Table'!F239="SF","SD",TRIM('Data Table'!F239)))</f>
        <v>SS</v>
      </c>
      <c r="D242" s="106">
        <f ca="1">IF(ISBLANK(OFFSET('Data Table'!$A237,2,Settings!$G$5-1)),"",OFFSET('Data Table'!$A237,2,Settings!$G$5-1))</f>
        <v>6.8</v>
      </c>
      <c r="E242" s="106" t="str">
        <f ca="1">IF(ISBLANK(OFFSET('Data Table'!$A237,2,Settings!$G$5)),"",OFFSET('Data Table'!$A237,2,Settings!$G$5))</f>
        <v/>
      </c>
      <c r="F242" s="143" t="str">
        <f ca="1">IF(ISBLANK(OFFSET('Data Table'!$A237,2,Settings!$G$5+1)),"",OFFSET('Data Table'!$A237,2,Settings!$G$5+1))</f>
        <v/>
      </c>
      <c r="G242">
        <f t="shared" ca="1" si="3"/>
        <v>6.8</v>
      </c>
      <c r="H242">
        <f ca="1">IF(G242=-888,"",IF(G242=-999,Settings!$G$4,IF(AND($AA$6="Excluded",G242&gt;=Settings!$G$2),"",G242)))</f>
        <v>6.8</v>
      </c>
      <c r="I242">
        <f ca="1">IF(OR(G242=-999,G242=-888,AND($AA$6="Excluded",G242&gt;=Settings!$G$2)),"",G242)</f>
        <v>6.8</v>
      </c>
      <c r="O242" s="46"/>
    </row>
    <row r="243" spans="1:15" x14ac:dyDescent="0.2">
      <c r="A243" s="1">
        <v>238</v>
      </c>
      <c r="B243" t="str">
        <f>IF(ISERROR(MATCH(TRIM('Data Table'!D240),Settings!$G$15:$G$20,0)),TRIM('Data Table'!D240),LOOKUP(TRIM('Data Table'!D240),Settings!$G$15:$G$20,Settings!$H$15:$H$20))</f>
        <v>Henderson</v>
      </c>
      <c r="C243" t="str">
        <f>IF('Data Table'!F240="","SS",IF('Data Table'!F240="SF","SD",TRIM('Data Table'!F240)))</f>
        <v>SS</v>
      </c>
      <c r="D243" s="106">
        <f ca="1">IF(ISBLANK(OFFSET('Data Table'!$A238,2,Settings!$G$5-1)),"",OFFSET('Data Table'!$A238,2,Settings!$G$5-1))</f>
        <v>67.400000000000006</v>
      </c>
      <c r="E243" s="106" t="str">
        <f ca="1">IF(ISBLANK(OFFSET('Data Table'!$A238,2,Settings!$G$5)),"",OFFSET('Data Table'!$A238,2,Settings!$G$5))</f>
        <v/>
      </c>
      <c r="F243" s="143" t="str">
        <f ca="1">IF(ISBLANK(OFFSET('Data Table'!$A238,2,Settings!$G$5+1)),"",OFFSET('Data Table'!$A238,2,Settings!$G$5+1))</f>
        <v/>
      </c>
      <c r="G243">
        <f t="shared" ca="1" si="3"/>
        <v>67.400000000000006</v>
      </c>
      <c r="H243">
        <f ca="1">IF(G243=-888,"",IF(G243=-999,Settings!$G$4,IF(AND($AA$6="Excluded",G243&gt;=Settings!$G$2),"",G243)))</f>
        <v>67.400000000000006</v>
      </c>
      <c r="I243">
        <f ca="1">IF(OR(G243=-999,G243=-888,AND($AA$6="Excluded",G243&gt;=Settings!$G$2)),"",G243)</f>
        <v>67.400000000000006</v>
      </c>
      <c r="O243" s="46"/>
    </row>
    <row r="244" spans="1:15" x14ac:dyDescent="0.2">
      <c r="A244" s="1">
        <v>239</v>
      </c>
      <c r="B244" t="str">
        <f>IF(ISERROR(MATCH(TRIM('Data Table'!D241),Settings!$G$15:$G$20,0)),TRIM('Data Table'!D241),LOOKUP(TRIM('Data Table'!D241),Settings!$G$15:$G$20,Settings!$H$15:$H$20))</f>
        <v>Catawba</v>
      </c>
      <c r="C244" t="str">
        <f>IF('Data Table'!F241="","SS",IF('Data Table'!F241="SF","SD",TRIM('Data Table'!F241)))</f>
        <v>SS</v>
      </c>
      <c r="D244" s="106">
        <f ca="1">IF(ISBLANK(OFFSET('Data Table'!$A239,2,Settings!$G$5-1)),"",OFFSET('Data Table'!$A239,2,Settings!$G$5-1))</f>
        <v>22</v>
      </c>
      <c r="E244" s="106" t="str">
        <f ca="1">IF(ISBLANK(OFFSET('Data Table'!$A239,2,Settings!$G$5)),"",OFFSET('Data Table'!$A239,2,Settings!$G$5))</f>
        <v/>
      </c>
      <c r="F244" s="143" t="str">
        <f ca="1">IF(ISBLANK(OFFSET('Data Table'!$A239,2,Settings!$G$5+1)),"",OFFSET('Data Table'!$A239,2,Settings!$G$5+1))</f>
        <v/>
      </c>
      <c r="G244">
        <f t="shared" ca="1" si="3"/>
        <v>22</v>
      </c>
      <c r="H244">
        <f ca="1">IF(G244=-888,"",IF(G244=-999,Settings!$G$4,IF(AND($AA$6="Excluded",G244&gt;=Settings!$G$2),"",G244)))</f>
        <v>22</v>
      </c>
      <c r="I244">
        <f ca="1">IF(OR(G244=-999,G244=-888,AND($AA$6="Excluded",G244&gt;=Settings!$G$2)),"",G244)</f>
        <v>22</v>
      </c>
      <c r="O244" s="46"/>
    </row>
    <row r="245" spans="1:15" x14ac:dyDescent="0.2">
      <c r="A245" s="1">
        <v>240</v>
      </c>
      <c r="B245" t="str">
        <f>IF(ISERROR(MATCH(TRIM('Data Table'!D242),Settings!$G$15:$G$20,0)),TRIM('Data Table'!D242),LOOKUP(TRIM('Data Table'!D242),Settings!$G$15:$G$20,Settings!$H$15:$H$20))</f>
        <v>New Hanover</v>
      </c>
      <c r="C245" t="str">
        <f>IF('Data Table'!F242="","SS",IF('Data Table'!F242="SF","SD",TRIM('Data Table'!F242)))</f>
        <v>SD</v>
      </c>
      <c r="D245" s="106" t="str">
        <f ca="1">IF(ISBLANK(OFFSET('Data Table'!$A240,2,Settings!$G$5-1)),"",OFFSET('Data Table'!$A240,2,Settings!$G$5-1))</f>
        <v/>
      </c>
      <c r="E245" s="106">
        <f ca="1">IF(ISBLANK(OFFSET('Data Table'!$A240,2,Settings!$G$5)),"",OFFSET('Data Table'!$A240,2,Settings!$G$5))</f>
        <v>18.72</v>
      </c>
      <c r="F245" s="143" t="str">
        <f ca="1">IF(ISBLANK(OFFSET('Data Table'!$A240,2,Settings!$G$5+1)),"",OFFSET('Data Table'!$A240,2,Settings!$G$5+1))</f>
        <v/>
      </c>
      <c r="G245">
        <f t="shared" ca="1" si="3"/>
        <v>18.72</v>
      </c>
      <c r="H245">
        <f ca="1">IF(G245=-888,"",IF(G245=-999,Settings!$G$4,IF(AND($AA$6="Excluded",G245&gt;=Settings!$G$2),"",G245)))</f>
        <v>18.72</v>
      </c>
      <c r="I245">
        <f ca="1">IF(OR(G245=-999,G245=-888,AND($AA$6="Excluded",G245&gt;=Settings!$G$2)),"",G245)</f>
        <v>18.72</v>
      </c>
      <c r="O245" s="46"/>
    </row>
    <row r="246" spans="1:15" x14ac:dyDescent="0.2">
      <c r="A246" s="1">
        <v>241</v>
      </c>
      <c r="B246" t="str">
        <f>IF(ISERROR(MATCH(TRIM('Data Table'!D243),Settings!$G$15:$G$20,0)),TRIM('Data Table'!D243),LOOKUP(TRIM('Data Table'!D243),Settings!$G$15:$G$20,Settings!$H$15:$H$20))</f>
        <v>New Hanover</v>
      </c>
      <c r="C246" t="str">
        <f>IF('Data Table'!F243="","SS",IF('Data Table'!F243="SF","SD",TRIM('Data Table'!F243)))</f>
        <v>SD</v>
      </c>
      <c r="D246" s="106" t="str">
        <f ca="1">IF(ISBLANK(OFFSET('Data Table'!$A241,2,Settings!$G$5-1)),"",OFFSET('Data Table'!$A241,2,Settings!$G$5-1))</f>
        <v/>
      </c>
      <c r="E246" s="106">
        <f ca="1">IF(ISBLANK(OFFSET('Data Table'!$A241,2,Settings!$G$5)),"",OFFSET('Data Table'!$A241,2,Settings!$G$5))</f>
        <v>44.64</v>
      </c>
      <c r="F246" s="143" t="str">
        <f ca="1">IF(ISBLANK(OFFSET('Data Table'!$A241,2,Settings!$G$5+1)),"",OFFSET('Data Table'!$A241,2,Settings!$G$5+1))</f>
        <v/>
      </c>
      <c r="G246">
        <f t="shared" ca="1" si="3"/>
        <v>44.64</v>
      </c>
      <c r="H246">
        <f ca="1">IF(G246=-888,"",IF(G246=-999,Settings!$G$4,IF(AND($AA$6="Excluded",G246&gt;=Settings!$G$2),"",G246)))</f>
        <v>44.64</v>
      </c>
      <c r="I246">
        <f ca="1">IF(OR(G246=-999,G246=-888,AND($AA$6="Excluded",G246&gt;=Settings!$G$2)),"",G246)</f>
        <v>44.64</v>
      </c>
      <c r="O246" s="46"/>
    </row>
    <row r="247" spans="1:15" x14ac:dyDescent="0.2">
      <c r="A247" s="1">
        <v>242</v>
      </c>
      <c r="B247" t="str">
        <f>IF(ISERROR(MATCH(TRIM('Data Table'!D244),Settings!$G$15:$G$20,0)),TRIM('Data Table'!D244),LOOKUP(TRIM('Data Table'!D244),Settings!$G$15:$G$20,Settings!$H$15:$H$20))</f>
        <v>Mecklenburg</v>
      </c>
      <c r="C247" t="str">
        <f>IF('Data Table'!F244="","SS",IF('Data Table'!F244="SF","SD",TRIM('Data Table'!F244)))</f>
        <v>SB</v>
      </c>
      <c r="D247" s="106">
        <f ca="1">IF(ISBLANK(OFFSET('Data Table'!$A242,2,Settings!$G$5-1)),"",OFFSET('Data Table'!$A242,2,Settings!$G$5-1))</f>
        <v>370</v>
      </c>
      <c r="E247" s="106" t="str">
        <f ca="1">IF(ISBLANK(OFFSET('Data Table'!$A242,2,Settings!$G$5)),"",OFFSET('Data Table'!$A242,2,Settings!$G$5))</f>
        <v/>
      </c>
      <c r="F247" s="143" t="str">
        <f ca="1">IF(ISBLANK(OFFSET('Data Table'!$A242,2,Settings!$G$5+1)),"",OFFSET('Data Table'!$A242,2,Settings!$G$5+1))</f>
        <v/>
      </c>
      <c r="G247">
        <f t="shared" ca="1" si="3"/>
        <v>370</v>
      </c>
      <c r="H247">
        <f ca="1">IF(G247=-888,"",IF(G247=-999,Settings!$G$4,IF(AND($AA$6="Excluded",G247&gt;=Settings!$G$2),"",G247)))</f>
        <v>370</v>
      </c>
      <c r="I247">
        <f ca="1">IF(OR(G247=-999,G247=-888,AND($AA$6="Excluded",G247&gt;=Settings!$G$2)),"",G247)</f>
        <v>370</v>
      </c>
      <c r="O247" s="46"/>
    </row>
    <row r="248" spans="1:15" x14ac:dyDescent="0.2">
      <c r="A248" s="1">
        <v>243</v>
      </c>
      <c r="B248" t="str">
        <f>IF(ISERROR(MATCH(TRIM('Data Table'!D245),Settings!$G$15:$G$20,0)),TRIM('Data Table'!D245),LOOKUP(TRIM('Data Table'!D245),Settings!$G$15:$G$20,Settings!$H$15:$H$20))</f>
        <v>Mecklenburg</v>
      </c>
      <c r="C248" t="str">
        <f>IF('Data Table'!F245="","SS",IF('Data Table'!F245="SF","SD",TRIM('Data Table'!F245)))</f>
        <v>SB</v>
      </c>
      <c r="D248" s="106">
        <f ca="1">IF(ISBLANK(OFFSET('Data Table'!$A243,2,Settings!$G$5-1)),"",OFFSET('Data Table'!$A243,2,Settings!$G$5-1))</f>
        <v>11</v>
      </c>
      <c r="E248" s="106" t="str">
        <f ca="1">IF(ISBLANK(OFFSET('Data Table'!$A243,2,Settings!$G$5)),"",OFFSET('Data Table'!$A243,2,Settings!$G$5))</f>
        <v/>
      </c>
      <c r="F248" s="143" t="str">
        <f ca="1">IF(ISBLANK(OFFSET('Data Table'!$A243,2,Settings!$G$5+1)),"",OFFSET('Data Table'!$A243,2,Settings!$G$5+1))</f>
        <v/>
      </c>
      <c r="G248">
        <f t="shared" ca="1" si="3"/>
        <v>11</v>
      </c>
      <c r="H248">
        <f ca="1">IF(G248=-888,"",IF(G248=-999,Settings!$G$4,IF(AND($AA$6="Excluded",G248&gt;=Settings!$G$2),"",G248)))</f>
        <v>11</v>
      </c>
      <c r="I248">
        <f ca="1">IF(OR(G248=-999,G248=-888,AND($AA$6="Excluded",G248&gt;=Settings!$G$2)),"",G248)</f>
        <v>11</v>
      </c>
      <c r="O248" s="46"/>
    </row>
    <row r="249" spans="1:15" x14ac:dyDescent="0.2">
      <c r="A249" s="1">
        <v>244</v>
      </c>
      <c r="B249" t="str">
        <f>IF(ISERROR(MATCH(TRIM('Data Table'!D246),Settings!$G$15:$G$20,0)),TRIM('Data Table'!D246),LOOKUP(TRIM('Data Table'!D246),Settings!$G$15:$G$20,Settings!$H$15:$H$20))</f>
        <v>Mecklenburg</v>
      </c>
      <c r="C249" t="str">
        <f>IF('Data Table'!F246="","SS",IF('Data Table'!F246="SF","SD",TRIM('Data Table'!F246)))</f>
        <v>SD</v>
      </c>
      <c r="D249" s="106">
        <f ca="1">IF(ISBLANK(OFFSET('Data Table'!$A244,2,Settings!$G$5-1)),"",OFFSET('Data Table'!$A244,2,Settings!$G$5-1))</f>
        <v>16</v>
      </c>
      <c r="E249" s="106" t="str">
        <f ca="1">IF(ISBLANK(OFFSET('Data Table'!$A244,2,Settings!$G$5)),"",OFFSET('Data Table'!$A244,2,Settings!$G$5))</f>
        <v/>
      </c>
      <c r="F249" s="143" t="str">
        <f ca="1">IF(ISBLANK(OFFSET('Data Table'!$A244,2,Settings!$G$5+1)),"",OFFSET('Data Table'!$A244,2,Settings!$G$5+1))</f>
        <v/>
      </c>
      <c r="G249">
        <f t="shared" ca="1" si="3"/>
        <v>16</v>
      </c>
      <c r="H249">
        <f ca="1">IF(G249=-888,"",IF(G249=-999,Settings!$G$4,IF(AND($AA$6="Excluded",G249&gt;=Settings!$G$2),"",G249)))</f>
        <v>16</v>
      </c>
      <c r="I249">
        <f ca="1">IF(OR(G249=-999,G249=-888,AND($AA$6="Excluded",G249&gt;=Settings!$G$2)),"",G249)</f>
        <v>16</v>
      </c>
      <c r="O249" s="46"/>
    </row>
    <row r="250" spans="1:15" x14ac:dyDescent="0.2">
      <c r="A250" s="1">
        <v>245</v>
      </c>
      <c r="B250" t="str">
        <f>IF(ISERROR(MATCH(TRIM('Data Table'!D247),Settings!$G$15:$G$20,0)),TRIM('Data Table'!D247),LOOKUP(TRIM('Data Table'!D247),Settings!$G$15:$G$20,Settings!$H$15:$H$20))</f>
        <v>Mecklenburg</v>
      </c>
      <c r="C250" t="str">
        <f>IF('Data Table'!F247="","SS",IF('Data Table'!F247="SF","SD",TRIM('Data Table'!F247)))</f>
        <v>SD</v>
      </c>
      <c r="D250" s="106">
        <f ca="1">IF(ISBLANK(OFFSET('Data Table'!$A245,2,Settings!$G$5-1)),"",OFFSET('Data Table'!$A245,2,Settings!$G$5-1))</f>
        <v>6.5</v>
      </c>
      <c r="E250" s="106" t="str">
        <f ca="1">IF(ISBLANK(OFFSET('Data Table'!$A245,2,Settings!$G$5)),"",OFFSET('Data Table'!$A245,2,Settings!$G$5))</f>
        <v/>
      </c>
      <c r="F250" s="143" t="str">
        <f ca="1">IF(ISBLANK(OFFSET('Data Table'!$A245,2,Settings!$G$5+1)),"",OFFSET('Data Table'!$A245,2,Settings!$G$5+1))</f>
        <v/>
      </c>
      <c r="G250">
        <f t="shared" ca="1" si="3"/>
        <v>6.5</v>
      </c>
      <c r="H250">
        <f ca="1">IF(G250=-888,"",IF(G250=-999,Settings!$G$4,IF(AND($AA$6="Excluded",G250&gt;=Settings!$G$2),"",G250)))</f>
        <v>6.5</v>
      </c>
      <c r="I250">
        <f ca="1">IF(OR(G250=-999,G250=-888,AND($AA$6="Excluded",G250&gt;=Settings!$G$2)),"",G250)</f>
        <v>6.5</v>
      </c>
      <c r="O250" s="46"/>
    </row>
    <row r="251" spans="1:15" x14ac:dyDescent="0.2">
      <c r="A251" s="1">
        <v>246</v>
      </c>
      <c r="B251" t="str">
        <f>IF(ISERROR(MATCH(TRIM('Data Table'!D248),Settings!$G$15:$G$20,0)),TRIM('Data Table'!D248),LOOKUP(TRIM('Data Table'!D248),Settings!$G$15:$G$20,Settings!$H$15:$H$20))</f>
        <v>Alamance</v>
      </c>
      <c r="C251" t="str">
        <f>IF('Data Table'!F248="","SS",IF('Data Table'!F248="SF","SD",TRIM('Data Table'!F248)))</f>
        <v>SS</v>
      </c>
      <c r="D251" s="106">
        <f ca="1">IF(ISBLANK(OFFSET('Data Table'!$A246,2,Settings!$G$5-1)),"",OFFSET('Data Table'!$A246,2,Settings!$G$5-1))</f>
        <v>110</v>
      </c>
      <c r="E251" s="106" t="str">
        <f ca="1">IF(ISBLANK(OFFSET('Data Table'!$A246,2,Settings!$G$5)),"",OFFSET('Data Table'!$A246,2,Settings!$G$5))</f>
        <v/>
      </c>
      <c r="F251" s="143" t="str">
        <f ca="1">IF(ISBLANK(OFFSET('Data Table'!$A246,2,Settings!$G$5+1)),"",OFFSET('Data Table'!$A246,2,Settings!$G$5+1))</f>
        <v/>
      </c>
      <c r="G251">
        <f t="shared" ca="1" si="3"/>
        <v>110</v>
      </c>
      <c r="H251">
        <f ca="1">IF(G251=-888,"",IF(G251=-999,Settings!$G$4,IF(AND($AA$6="Excluded",G251&gt;=Settings!$G$2),"",G251)))</f>
        <v>110</v>
      </c>
      <c r="I251">
        <f ca="1">IF(OR(G251=-999,G251=-888,AND($AA$6="Excluded",G251&gt;=Settings!$G$2)),"",G251)</f>
        <v>110</v>
      </c>
      <c r="O251" s="46"/>
    </row>
    <row r="252" spans="1:15" x14ac:dyDescent="0.2">
      <c r="A252" s="1">
        <v>247</v>
      </c>
      <c r="B252" t="str">
        <f>IF(ISERROR(MATCH(TRIM('Data Table'!D249),Settings!$G$15:$G$20,0)),TRIM('Data Table'!D249),LOOKUP(TRIM('Data Table'!D249),Settings!$G$15:$G$20,Settings!$H$15:$H$20))</f>
        <v>Alamance</v>
      </c>
      <c r="C252" t="str">
        <f>IF('Data Table'!F249="","SS",IF('Data Table'!F249="SF","SD",TRIM('Data Table'!F249)))</f>
        <v>SB</v>
      </c>
      <c r="D252" s="106">
        <f ca="1">IF(ISBLANK(OFFSET('Data Table'!$A247,2,Settings!$G$5-1)),"",OFFSET('Data Table'!$A247,2,Settings!$G$5-1))</f>
        <v>4.3</v>
      </c>
      <c r="E252" s="106" t="str">
        <f ca="1">IF(ISBLANK(OFFSET('Data Table'!$A247,2,Settings!$G$5)),"",OFFSET('Data Table'!$A247,2,Settings!$G$5))</f>
        <v/>
      </c>
      <c r="F252" s="143" t="str">
        <f ca="1">IF(ISBLANK(OFFSET('Data Table'!$A247,2,Settings!$G$5+1)),"",OFFSET('Data Table'!$A247,2,Settings!$G$5+1))</f>
        <v/>
      </c>
      <c r="G252">
        <f t="shared" ca="1" si="3"/>
        <v>4.3</v>
      </c>
      <c r="H252">
        <f ca="1">IF(G252=-888,"",IF(G252=-999,Settings!$G$4,IF(AND($AA$6="Excluded",G252&gt;=Settings!$G$2),"",G252)))</f>
        <v>4.3</v>
      </c>
      <c r="I252">
        <f ca="1">IF(OR(G252=-999,G252=-888,AND($AA$6="Excluded",G252&gt;=Settings!$G$2)),"",G252)</f>
        <v>4.3</v>
      </c>
      <c r="O252" s="46"/>
    </row>
    <row r="253" spans="1:15" x14ac:dyDescent="0.2">
      <c r="A253" s="1">
        <v>248</v>
      </c>
      <c r="B253" t="str">
        <f>IF(ISERROR(MATCH(TRIM('Data Table'!D250),Settings!$G$15:$G$20,0)),TRIM('Data Table'!D250),LOOKUP(TRIM('Data Table'!D250),Settings!$G$15:$G$20,Settings!$H$15:$H$20))</f>
        <v>Currituck</v>
      </c>
      <c r="C253" t="str">
        <f>IF('Data Table'!F250="","SS",IF('Data Table'!F250="SF","SD",TRIM('Data Table'!F250)))</f>
        <v>SS</v>
      </c>
      <c r="D253" s="106">
        <f ca="1">IF(ISBLANK(OFFSET('Data Table'!$A248,2,Settings!$G$5-1)),"",OFFSET('Data Table'!$A248,2,Settings!$G$5-1))</f>
        <v>1.9</v>
      </c>
      <c r="E253" s="106" t="str">
        <f ca="1">IF(ISBLANK(OFFSET('Data Table'!$A248,2,Settings!$G$5)),"",OFFSET('Data Table'!$A248,2,Settings!$G$5))</f>
        <v/>
      </c>
      <c r="F253" s="143" t="str">
        <f ca="1">IF(ISBLANK(OFFSET('Data Table'!$A248,2,Settings!$G$5+1)),"",OFFSET('Data Table'!$A248,2,Settings!$G$5+1))</f>
        <v/>
      </c>
      <c r="G253">
        <f t="shared" ca="1" si="3"/>
        <v>1.9</v>
      </c>
      <c r="H253">
        <f ca="1">IF(G253=-888,"",IF(G253=-999,Settings!$G$4,IF(AND($AA$6="Excluded",G253&gt;=Settings!$G$2),"",G253)))</f>
        <v>1.9</v>
      </c>
      <c r="I253">
        <f ca="1">IF(OR(G253=-999,G253=-888,AND($AA$6="Excluded",G253&gt;=Settings!$G$2)),"",G253)</f>
        <v>1.9</v>
      </c>
      <c r="O253" s="46"/>
    </row>
    <row r="254" spans="1:15" x14ac:dyDescent="0.2">
      <c r="A254" s="1">
        <v>249</v>
      </c>
      <c r="B254" t="str">
        <f>IF(ISERROR(MATCH(TRIM('Data Table'!D251),Settings!$G$15:$G$20,0)),TRIM('Data Table'!D251),LOOKUP(TRIM('Data Table'!D251),Settings!$G$15:$G$20,Settings!$H$15:$H$20))</f>
        <v>New Hanover</v>
      </c>
      <c r="C254" t="str">
        <f>IF('Data Table'!F251="","SS",IF('Data Table'!F251="SF","SD",TRIM('Data Table'!F251)))</f>
        <v>SS</v>
      </c>
      <c r="D254" s="106">
        <f ca="1">IF(ISBLANK(OFFSET('Data Table'!$A249,2,Settings!$G$5-1)),"",OFFSET('Data Table'!$A249,2,Settings!$G$5-1))</f>
        <v>5.61</v>
      </c>
      <c r="E254" s="106" t="str">
        <f ca="1">IF(ISBLANK(OFFSET('Data Table'!$A249,2,Settings!$G$5)),"",OFFSET('Data Table'!$A249,2,Settings!$G$5))</f>
        <v/>
      </c>
      <c r="F254" s="143" t="str">
        <f ca="1">IF(ISBLANK(OFFSET('Data Table'!$A249,2,Settings!$G$5+1)),"",OFFSET('Data Table'!$A249,2,Settings!$G$5+1))</f>
        <v/>
      </c>
      <c r="G254">
        <f t="shared" ca="1" si="3"/>
        <v>5.61</v>
      </c>
      <c r="H254">
        <f ca="1">IF(G254=-888,"",IF(G254=-999,Settings!$G$4,IF(AND($AA$6="Excluded",G254&gt;=Settings!$G$2),"",G254)))</f>
        <v>5.61</v>
      </c>
      <c r="I254">
        <f ca="1">IF(OR(G254=-999,G254=-888,AND($AA$6="Excluded",G254&gt;=Settings!$G$2)),"",G254)</f>
        <v>5.61</v>
      </c>
      <c r="O254" s="46"/>
    </row>
    <row r="255" spans="1:15" x14ac:dyDescent="0.2">
      <c r="A255" s="1">
        <v>250</v>
      </c>
      <c r="B255" t="str">
        <f>IF(ISERROR(MATCH(TRIM('Data Table'!D252),Settings!$G$15:$G$20,0)),TRIM('Data Table'!D252),LOOKUP(TRIM('Data Table'!D252),Settings!$G$15:$G$20,Settings!$H$15:$H$20))</f>
        <v>New Hanover</v>
      </c>
      <c r="C255" t="str">
        <f>IF('Data Table'!F252="","SS",IF('Data Table'!F252="SF","SD",TRIM('Data Table'!F252)))</f>
        <v>SS</v>
      </c>
      <c r="D255" s="106">
        <f ca="1">IF(ISBLANK(OFFSET('Data Table'!$A250,2,Settings!$G$5-1)),"",OFFSET('Data Table'!$A250,2,Settings!$G$5-1))</f>
        <v>10.5</v>
      </c>
      <c r="E255" s="106" t="str">
        <f ca="1">IF(ISBLANK(OFFSET('Data Table'!$A250,2,Settings!$G$5)),"",OFFSET('Data Table'!$A250,2,Settings!$G$5))</f>
        <v/>
      </c>
      <c r="F255" s="143" t="str">
        <f ca="1">IF(ISBLANK(OFFSET('Data Table'!$A250,2,Settings!$G$5+1)),"",OFFSET('Data Table'!$A250,2,Settings!$G$5+1))</f>
        <v/>
      </c>
      <c r="G255">
        <f t="shared" ca="1" si="3"/>
        <v>10.5</v>
      </c>
      <c r="H255">
        <f ca="1">IF(G255=-888,"",IF(G255=-999,Settings!$G$4,IF(AND($AA$6="Excluded",G255&gt;=Settings!$G$2),"",G255)))</f>
        <v>10.5</v>
      </c>
      <c r="I255">
        <f ca="1">IF(OR(G255=-999,G255=-888,AND($AA$6="Excluded",G255&gt;=Settings!$G$2)),"",G255)</f>
        <v>10.5</v>
      </c>
      <c r="O255" s="46"/>
    </row>
    <row r="256" spans="1:15" x14ac:dyDescent="0.2">
      <c r="A256" s="1">
        <v>251</v>
      </c>
      <c r="B256" t="str">
        <f>IF(ISERROR(MATCH(TRIM('Data Table'!D253),Settings!$G$15:$G$20,0)),TRIM('Data Table'!D253),LOOKUP(TRIM('Data Table'!D253),Settings!$G$15:$G$20,Settings!$H$15:$H$20))</f>
        <v>New Hanover</v>
      </c>
      <c r="C256" t="str">
        <f>IF('Data Table'!F253="","SS",IF('Data Table'!F253="SF","SD",TRIM('Data Table'!F253)))</f>
        <v>SS</v>
      </c>
      <c r="D256" s="106">
        <f ca="1">IF(ISBLANK(OFFSET('Data Table'!$A251,2,Settings!$G$5-1)),"",OFFSET('Data Table'!$A251,2,Settings!$G$5-1))</f>
        <v>3.44</v>
      </c>
      <c r="E256" s="106" t="str">
        <f ca="1">IF(ISBLANK(OFFSET('Data Table'!$A251,2,Settings!$G$5)),"",OFFSET('Data Table'!$A251,2,Settings!$G$5))</f>
        <v/>
      </c>
      <c r="F256" s="143" t="str">
        <f ca="1">IF(ISBLANK(OFFSET('Data Table'!$A251,2,Settings!$G$5+1)),"",OFFSET('Data Table'!$A251,2,Settings!$G$5+1))</f>
        <v/>
      </c>
      <c r="G256">
        <f t="shared" ca="1" si="3"/>
        <v>3.44</v>
      </c>
      <c r="H256">
        <f ca="1">IF(G256=-888,"",IF(G256=-999,Settings!$G$4,IF(AND($AA$6="Excluded",G256&gt;=Settings!$G$2),"",G256)))</f>
        <v>3.44</v>
      </c>
      <c r="I256">
        <f ca="1">IF(OR(G256=-999,G256=-888,AND($AA$6="Excluded",G256&gt;=Settings!$G$2)),"",G256)</f>
        <v>3.44</v>
      </c>
      <c r="O256" s="46"/>
    </row>
    <row r="257" spans="1:15" x14ac:dyDescent="0.2">
      <c r="A257" s="1">
        <v>252</v>
      </c>
      <c r="B257" t="str">
        <f>IF(ISERROR(MATCH(TRIM('Data Table'!D254),Settings!$G$15:$G$20,0)),TRIM('Data Table'!D254),LOOKUP(TRIM('Data Table'!D254),Settings!$G$15:$G$20,Settings!$H$15:$H$20))</f>
        <v>New Hanover</v>
      </c>
      <c r="C257" t="str">
        <f>IF('Data Table'!F254="","SS",IF('Data Table'!F254="SF","SD",TRIM('Data Table'!F254)))</f>
        <v>SS</v>
      </c>
      <c r="D257" s="106">
        <f ca="1">IF(ISBLANK(OFFSET('Data Table'!$A252,2,Settings!$G$5-1)),"",OFFSET('Data Table'!$A252,2,Settings!$G$5-1))</f>
        <v>11.7</v>
      </c>
      <c r="E257" s="106" t="str">
        <f ca="1">IF(ISBLANK(OFFSET('Data Table'!$A252,2,Settings!$G$5)),"",OFFSET('Data Table'!$A252,2,Settings!$G$5))</f>
        <v/>
      </c>
      <c r="F257" s="143" t="str">
        <f ca="1">IF(ISBLANK(OFFSET('Data Table'!$A252,2,Settings!$G$5+1)),"",OFFSET('Data Table'!$A252,2,Settings!$G$5+1))</f>
        <v/>
      </c>
      <c r="G257">
        <f t="shared" ca="1" si="3"/>
        <v>11.7</v>
      </c>
      <c r="H257">
        <f ca="1">IF(G257=-888,"",IF(G257=-999,Settings!$G$4,IF(AND($AA$6="Excluded",G257&gt;=Settings!$G$2),"",G257)))</f>
        <v>11.7</v>
      </c>
      <c r="I257">
        <f ca="1">IF(OR(G257=-999,G257=-888,AND($AA$6="Excluded",G257&gt;=Settings!$G$2)),"",G257)</f>
        <v>11.7</v>
      </c>
      <c r="O257" s="46"/>
    </row>
    <row r="258" spans="1:15" x14ac:dyDescent="0.2">
      <c r="A258" s="1">
        <v>253</v>
      </c>
      <c r="B258" t="str">
        <f>IF(ISERROR(MATCH(TRIM('Data Table'!D255),Settings!$G$15:$G$20,0)),TRIM('Data Table'!D255),LOOKUP(TRIM('Data Table'!D255),Settings!$G$15:$G$20,Settings!$H$15:$H$20))</f>
        <v>New Hanover</v>
      </c>
      <c r="C258" t="str">
        <f>IF('Data Table'!F255="","SS",IF('Data Table'!F255="SF","SD",TRIM('Data Table'!F255)))</f>
        <v>SS</v>
      </c>
      <c r="D258" s="106">
        <f ca="1">IF(ISBLANK(OFFSET('Data Table'!$A253,2,Settings!$G$5-1)),"",OFFSET('Data Table'!$A253,2,Settings!$G$5-1))</f>
        <v>59.3</v>
      </c>
      <c r="E258" s="106" t="str">
        <f ca="1">IF(ISBLANK(OFFSET('Data Table'!$A253,2,Settings!$G$5)),"",OFFSET('Data Table'!$A253,2,Settings!$G$5))</f>
        <v/>
      </c>
      <c r="F258" s="143" t="str">
        <f ca="1">IF(ISBLANK(OFFSET('Data Table'!$A253,2,Settings!$G$5+1)),"",OFFSET('Data Table'!$A253,2,Settings!$G$5+1))</f>
        <v/>
      </c>
      <c r="G258">
        <f t="shared" ca="1" si="3"/>
        <v>59.3</v>
      </c>
      <c r="H258">
        <f ca="1">IF(G258=-888,"",IF(G258=-999,Settings!$G$4,IF(AND($AA$6="Excluded",G258&gt;=Settings!$G$2),"",G258)))</f>
        <v>59.3</v>
      </c>
      <c r="I258">
        <f ca="1">IF(OR(G258=-999,G258=-888,AND($AA$6="Excluded",G258&gt;=Settings!$G$2)),"",G258)</f>
        <v>59.3</v>
      </c>
      <c r="O258" s="46"/>
    </row>
    <row r="259" spans="1:15" x14ac:dyDescent="0.2">
      <c r="A259" s="1">
        <v>254</v>
      </c>
      <c r="B259" t="str">
        <f>IF(ISERROR(MATCH(TRIM('Data Table'!D256),Settings!$G$15:$G$20,0)),TRIM('Data Table'!D256),LOOKUP(TRIM('Data Table'!D256),Settings!$G$15:$G$20,Settings!$H$15:$H$20))</f>
        <v>Chatham</v>
      </c>
      <c r="C259" t="str">
        <f>IF('Data Table'!F256="","SS",IF('Data Table'!F256="SF","SD",TRIM('Data Table'!F256)))</f>
        <v>SS</v>
      </c>
      <c r="D259" s="106" t="str">
        <f ca="1">IF(ISBLANK(OFFSET('Data Table'!$A254,2,Settings!$G$5-1)),"",OFFSET('Data Table'!$A254,2,Settings!$G$5-1))</f>
        <v>#</v>
      </c>
      <c r="E259" s="106" t="str">
        <f ca="1">IF(ISBLANK(OFFSET('Data Table'!$A254,2,Settings!$G$5)),"",OFFSET('Data Table'!$A254,2,Settings!$G$5))</f>
        <v/>
      </c>
      <c r="F259" s="143" t="str">
        <f ca="1">IF(ISBLANK(OFFSET('Data Table'!$A254,2,Settings!$G$5+1)),"",OFFSET('Data Table'!$A254,2,Settings!$G$5+1))</f>
        <v/>
      </c>
      <c r="G259">
        <f t="shared" ca="1" si="3"/>
        <v>-999</v>
      </c>
      <c r="H259">
        <f ca="1">IF(G259=-888,"",IF(G259=-999,Settings!$G$4,IF(AND($AA$6="Excluded",G259&gt;=Settings!$G$2),"",G259)))</f>
        <v>5.0000000000000001E-3</v>
      </c>
      <c r="I259" t="str">
        <f ca="1">IF(OR(G259=-999,G259=-888,AND($AA$6="Excluded",G259&gt;=Settings!$G$2)),"",G259)</f>
        <v/>
      </c>
      <c r="O259" s="46"/>
    </row>
    <row r="260" spans="1:15" x14ac:dyDescent="0.2">
      <c r="A260" s="1">
        <v>255</v>
      </c>
      <c r="B260" t="str">
        <f>IF(ISERROR(MATCH(TRIM('Data Table'!D257),Settings!$G$15:$G$20,0)),TRIM('Data Table'!D257),LOOKUP(TRIM('Data Table'!D257),Settings!$G$15:$G$20,Settings!$H$15:$H$20))</f>
        <v>Wake</v>
      </c>
      <c r="C260" t="str">
        <f>IF('Data Table'!F257="","SS",IF('Data Table'!F257="SF","SD",TRIM('Data Table'!F257)))</f>
        <v>SS</v>
      </c>
      <c r="D260" s="106">
        <f ca="1">IF(ISBLANK(OFFSET('Data Table'!$A255,2,Settings!$G$5-1)),"",OFFSET('Data Table'!$A255,2,Settings!$G$5-1))</f>
        <v>19</v>
      </c>
      <c r="E260" s="106" t="str">
        <f ca="1">IF(ISBLANK(OFFSET('Data Table'!$A255,2,Settings!$G$5)),"",OFFSET('Data Table'!$A255,2,Settings!$G$5))</f>
        <v/>
      </c>
      <c r="F260" s="143" t="str">
        <f ca="1">IF(ISBLANK(OFFSET('Data Table'!$A255,2,Settings!$G$5+1)),"",OFFSET('Data Table'!$A255,2,Settings!$G$5+1))</f>
        <v/>
      </c>
      <c r="G260">
        <f t="shared" ca="1" si="3"/>
        <v>19</v>
      </c>
      <c r="H260">
        <f ca="1">IF(G260=-888,"",IF(G260=-999,Settings!$G$4,IF(AND($AA$6="Excluded",G260&gt;=Settings!$G$2),"",G260)))</f>
        <v>19</v>
      </c>
      <c r="I260">
        <f ca="1">IF(OR(G260=-999,G260=-888,AND($AA$6="Excluded",G260&gt;=Settings!$G$2)),"",G260)</f>
        <v>19</v>
      </c>
      <c r="O260" s="46"/>
    </row>
    <row r="261" spans="1:15" x14ac:dyDescent="0.2">
      <c r="A261" s="1">
        <v>256</v>
      </c>
      <c r="B261" t="str">
        <f>IF(ISERROR(MATCH(TRIM('Data Table'!D258),Settings!$G$15:$G$20,0)),TRIM('Data Table'!D258),LOOKUP(TRIM('Data Table'!D258),Settings!$G$15:$G$20,Settings!$H$15:$H$20))</f>
        <v>Wake</v>
      </c>
      <c r="C261" t="str">
        <f>IF('Data Table'!F258="","SS",IF('Data Table'!F258="SF","SD",TRIM('Data Table'!F258)))</f>
        <v>SS</v>
      </c>
      <c r="D261" s="106">
        <f ca="1">IF(ISBLANK(OFFSET('Data Table'!$A256,2,Settings!$G$5-1)),"",OFFSET('Data Table'!$A256,2,Settings!$G$5-1))</f>
        <v>22</v>
      </c>
      <c r="E261" s="106" t="str">
        <f ca="1">IF(ISBLANK(OFFSET('Data Table'!$A256,2,Settings!$G$5)),"",OFFSET('Data Table'!$A256,2,Settings!$G$5))</f>
        <v/>
      </c>
      <c r="F261" s="143" t="str">
        <f ca="1">IF(ISBLANK(OFFSET('Data Table'!$A256,2,Settings!$G$5+1)),"",OFFSET('Data Table'!$A256,2,Settings!$G$5+1))</f>
        <v/>
      </c>
      <c r="G261">
        <f t="shared" ca="1" si="3"/>
        <v>22</v>
      </c>
      <c r="H261">
        <f ca="1">IF(G261=-888,"",IF(G261=-999,Settings!$G$4,IF(AND($AA$6="Excluded",G261&gt;=Settings!$G$2),"",G261)))</f>
        <v>22</v>
      </c>
      <c r="I261">
        <f ca="1">IF(OR(G261=-999,G261=-888,AND($AA$6="Excluded",G261&gt;=Settings!$G$2)),"",G261)</f>
        <v>22</v>
      </c>
      <c r="O261" s="46"/>
    </row>
    <row r="262" spans="1:15" x14ac:dyDescent="0.2">
      <c r="A262" s="1">
        <v>257</v>
      </c>
      <c r="B262" t="str">
        <f>IF(ISERROR(MATCH(TRIM('Data Table'!D259),Settings!$G$15:$G$20,0)),TRIM('Data Table'!D259),LOOKUP(TRIM('Data Table'!D259),Settings!$G$15:$G$20,Settings!$H$15:$H$20))</f>
        <v>Durham</v>
      </c>
      <c r="C262" t="str">
        <f>IF('Data Table'!F259="","SS",IF('Data Table'!F259="SF","SD",TRIM('Data Table'!F259)))</f>
        <v>SS</v>
      </c>
      <c r="D262" s="106">
        <f ca="1">IF(ISBLANK(OFFSET('Data Table'!$A257,2,Settings!$G$5-1)),"",OFFSET('Data Table'!$A257,2,Settings!$G$5-1))</f>
        <v>31</v>
      </c>
      <c r="E262" s="106" t="str">
        <f ca="1">IF(ISBLANK(OFFSET('Data Table'!$A257,2,Settings!$G$5)),"",OFFSET('Data Table'!$A257,2,Settings!$G$5))</f>
        <v/>
      </c>
      <c r="F262" s="143" t="str">
        <f ca="1">IF(ISBLANK(OFFSET('Data Table'!$A257,2,Settings!$G$5+1)),"",OFFSET('Data Table'!$A257,2,Settings!$G$5+1))</f>
        <v/>
      </c>
      <c r="G262">
        <f t="shared" ref="G262:G325" ca="1" si="4">IF(COUNTIF(SOIL_DEPTH,C262)=0,"",IF(OR(D262="#",E262="#",F262="#"),-999,IF(AND(D262="",E262="",F262=""),-888,IF(COUNT(D262:F262)&gt;1,"ERROR",MAX(D262:F262)))))</f>
        <v>31</v>
      </c>
      <c r="H262">
        <f ca="1">IF(G262=-888,"",IF(G262=-999,Settings!$G$4,IF(AND($AA$6="Excluded",G262&gt;=Settings!$G$2),"",G262)))</f>
        <v>31</v>
      </c>
      <c r="I262">
        <f ca="1">IF(OR(G262=-999,G262=-888,AND($AA$6="Excluded",G262&gt;=Settings!$G$2)),"",G262)</f>
        <v>31</v>
      </c>
      <c r="O262" s="46"/>
    </row>
    <row r="263" spans="1:15" x14ac:dyDescent="0.2">
      <c r="A263" s="1">
        <v>258</v>
      </c>
      <c r="B263" t="str">
        <f>IF(ISERROR(MATCH(TRIM('Data Table'!D260),Settings!$G$15:$G$20,0)),TRIM('Data Table'!D260),LOOKUP(TRIM('Data Table'!D260),Settings!$G$15:$G$20,Settings!$H$15:$H$20))</f>
        <v>Iredell</v>
      </c>
      <c r="C263" t="str">
        <f>IF('Data Table'!F260="","SS",IF('Data Table'!F260="SF","SD",TRIM('Data Table'!F260)))</f>
        <v>SS</v>
      </c>
      <c r="D263" s="106">
        <f ca="1">IF(ISBLANK(OFFSET('Data Table'!$A258,2,Settings!$G$5-1)),"",OFFSET('Data Table'!$A258,2,Settings!$G$5-1))</f>
        <v>466</v>
      </c>
      <c r="E263" s="106" t="str">
        <f ca="1">IF(ISBLANK(OFFSET('Data Table'!$A258,2,Settings!$G$5)),"",OFFSET('Data Table'!$A258,2,Settings!$G$5))</f>
        <v/>
      </c>
      <c r="F263" s="143" t="str">
        <f ca="1">IF(ISBLANK(OFFSET('Data Table'!$A258,2,Settings!$G$5+1)),"",OFFSET('Data Table'!$A258,2,Settings!$G$5+1))</f>
        <v/>
      </c>
      <c r="G263">
        <f t="shared" ca="1" si="4"/>
        <v>466</v>
      </c>
      <c r="H263">
        <f ca="1">IF(G263=-888,"",IF(G263=-999,Settings!$G$4,IF(AND($AA$6="Excluded",G263&gt;=Settings!$G$2),"",G263)))</f>
        <v>466</v>
      </c>
      <c r="I263">
        <f ca="1">IF(OR(G263=-999,G263=-888,AND($AA$6="Excluded",G263&gt;=Settings!$G$2)),"",G263)</f>
        <v>466</v>
      </c>
      <c r="O263" s="46"/>
    </row>
    <row r="264" spans="1:15" x14ac:dyDescent="0.2">
      <c r="A264" s="1">
        <v>259</v>
      </c>
      <c r="B264" t="str">
        <f>IF(ISERROR(MATCH(TRIM('Data Table'!D261),Settings!$G$15:$G$20,0)),TRIM('Data Table'!D261),LOOKUP(TRIM('Data Table'!D261),Settings!$G$15:$G$20,Settings!$H$15:$H$20))</f>
        <v>Orange</v>
      </c>
      <c r="C264" t="str">
        <f>IF('Data Table'!F261="","SS",IF('Data Table'!F261="SF","SD",TRIM('Data Table'!F261)))</f>
        <v>SS</v>
      </c>
      <c r="D264" s="106">
        <f ca="1">IF(ISBLANK(OFFSET('Data Table'!$A259,2,Settings!$G$5-1)),"",OFFSET('Data Table'!$A259,2,Settings!$G$5-1))</f>
        <v>5.2</v>
      </c>
      <c r="E264" s="106" t="str">
        <f ca="1">IF(ISBLANK(OFFSET('Data Table'!$A259,2,Settings!$G$5)),"",OFFSET('Data Table'!$A259,2,Settings!$G$5))</f>
        <v/>
      </c>
      <c r="F264" s="143" t="str">
        <f ca="1">IF(ISBLANK(OFFSET('Data Table'!$A259,2,Settings!$G$5+1)),"",OFFSET('Data Table'!$A259,2,Settings!$G$5+1))</f>
        <v/>
      </c>
      <c r="G264">
        <f t="shared" ca="1" si="4"/>
        <v>5.2</v>
      </c>
      <c r="H264">
        <f ca="1">IF(G264=-888,"",IF(G264=-999,Settings!$G$4,IF(AND($AA$6="Excluded",G264&gt;=Settings!$G$2),"",G264)))</f>
        <v>5.2</v>
      </c>
      <c r="I264">
        <f ca="1">IF(OR(G264=-999,G264=-888,AND($AA$6="Excluded",G264&gt;=Settings!$G$2)),"",G264)</f>
        <v>5.2</v>
      </c>
      <c r="O264" s="46"/>
    </row>
    <row r="265" spans="1:15" x14ac:dyDescent="0.2">
      <c r="A265" s="1">
        <v>260</v>
      </c>
      <c r="B265" t="str">
        <f>IF(ISERROR(MATCH(TRIM('Data Table'!D262),Settings!$G$15:$G$20,0)),TRIM('Data Table'!D262),LOOKUP(TRIM('Data Table'!D262),Settings!$G$15:$G$20,Settings!$H$15:$H$20))</f>
        <v>Orange</v>
      </c>
      <c r="C265" t="str">
        <f>IF('Data Table'!F262="","SS",IF('Data Table'!F262="SF","SD",TRIM('Data Table'!F262)))</f>
        <v>SD</v>
      </c>
      <c r="D265" s="106">
        <f ca="1">IF(ISBLANK(OFFSET('Data Table'!$A260,2,Settings!$G$5-1)),"",OFFSET('Data Table'!$A260,2,Settings!$G$5-1))</f>
        <v>20</v>
      </c>
      <c r="E265" s="106" t="str">
        <f ca="1">IF(ISBLANK(OFFSET('Data Table'!$A260,2,Settings!$G$5)),"",OFFSET('Data Table'!$A260,2,Settings!$G$5))</f>
        <v/>
      </c>
      <c r="F265" s="143" t="str">
        <f ca="1">IF(ISBLANK(OFFSET('Data Table'!$A260,2,Settings!$G$5+1)),"",OFFSET('Data Table'!$A260,2,Settings!$G$5+1))</f>
        <v/>
      </c>
      <c r="G265">
        <f t="shared" ca="1" si="4"/>
        <v>20</v>
      </c>
      <c r="H265">
        <f ca="1">IF(G265=-888,"",IF(G265=-999,Settings!$G$4,IF(AND($AA$6="Excluded",G265&gt;=Settings!$G$2),"",G265)))</f>
        <v>20</v>
      </c>
      <c r="I265">
        <f ca="1">IF(OR(G265=-999,G265=-888,AND($AA$6="Excluded",G265&gt;=Settings!$G$2)),"",G265)</f>
        <v>20</v>
      </c>
      <c r="O265" s="46"/>
    </row>
    <row r="266" spans="1:15" x14ac:dyDescent="0.2">
      <c r="A266" s="1">
        <v>261</v>
      </c>
      <c r="B266" t="str">
        <f>IF(ISERROR(MATCH(TRIM('Data Table'!D263),Settings!$G$15:$G$20,0)),TRIM('Data Table'!D263),LOOKUP(TRIM('Data Table'!D263),Settings!$G$15:$G$20,Settings!$H$15:$H$20))</f>
        <v>Vance</v>
      </c>
      <c r="C266" t="str">
        <f>IF('Data Table'!F263="","SS",IF('Data Table'!F263="SF","SD",TRIM('Data Table'!F263)))</f>
        <v>SS</v>
      </c>
      <c r="D266" s="106" t="str">
        <f ca="1">IF(ISBLANK(OFFSET('Data Table'!$A261,2,Settings!$G$5-1)),"",OFFSET('Data Table'!$A261,2,Settings!$G$5-1))</f>
        <v/>
      </c>
      <c r="E266" s="106">
        <f ca="1">IF(ISBLANK(OFFSET('Data Table'!$A261,2,Settings!$G$5)),"",OFFSET('Data Table'!$A261,2,Settings!$G$5))</f>
        <v>31.68</v>
      </c>
      <c r="F266" s="143" t="str">
        <f ca="1">IF(ISBLANK(OFFSET('Data Table'!$A261,2,Settings!$G$5+1)),"",OFFSET('Data Table'!$A261,2,Settings!$G$5+1))</f>
        <v/>
      </c>
      <c r="G266">
        <f t="shared" ca="1" si="4"/>
        <v>31.68</v>
      </c>
      <c r="H266">
        <f ca="1">IF(G266=-888,"",IF(G266=-999,Settings!$G$4,IF(AND($AA$6="Excluded",G266&gt;=Settings!$G$2),"",G266)))</f>
        <v>31.68</v>
      </c>
      <c r="I266">
        <f ca="1">IF(OR(G266=-999,G266=-888,AND($AA$6="Excluded",G266&gt;=Settings!$G$2)),"",G266)</f>
        <v>31.68</v>
      </c>
      <c r="O266" s="46"/>
    </row>
    <row r="267" spans="1:15" x14ac:dyDescent="0.2">
      <c r="A267" s="1">
        <v>262</v>
      </c>
      <c r="B267" t="str">
        <f>IF(ISERROR(MATCH(TRIM('Data Table'!D264),Settings!$G$15:$G$20,0)),TRIM('Data Table'!D264),LOOKUP(TRIM('Data Table'!D264),Settings!$G$15:$G$20,Settings!$H$15:$H$20))</f>
        <v>Vance</v>
      </c>
      <c r="C267" t="str">
        <f>IF('Data Table'!F264="","SS",IF('Data Table'!F264="SF","SD",TRIM('Data Table'!F264)))</f>
        <v>SS</v>
      </c>
      <c r="D267" s="106">
        <f ca="1">IF(ISBLANK(OFFSET('Data Table'!$A262,2,Settings!$G$5-1)),"",OFFSET('Data Table'!$A262,2,Settings!$G$5-1))</f>
        <v>20</v>
      </c>
      <c r="E267" s="106" t="str">
        <f ca="1">IF(ISBLANK(OFFSET('Data Table'!$A262,2,Settings!$G$5)),"",OFFSET('Data Table'!$A262,2,Settings!$G$5))</f>
        <v/>
      </c>
      <c r="F267" s="143" t="str">
        <f ca="1">IF(ISBLANK(OFFSET('Data Table'!$A262,2,Settings!$G$5+1)),"",OFFSET('Data Table'!$A262,2,Settings!$G$5+1))</f>
        <v/>
      </c>
      <c r="G267">
        <f t="shared" ca="1" si="4"/>
        <v>20</v>
      </c>
      <c r="H267">
        <f ca="1">IF(G267=-888,"",IF(G267=-999,Settings!$G$4,IF(AND($AA$6="Excluded",G267&gt;=Settings!$G$2),"",G267)))</f>
        <v>20</v>
      </c>
      <c r="I267">
        <f ca="1">IF(OR(G267=-999,G267=-888,AND($AA$6="Excluded",G267&gt;=Settings!$G$2)),"",G267)</f>
        <v>20</v>
      </c>
      <c r="O267" s="46"/>
    </row>
    <row r="268" spans="1:15" x14ac:dyDescent="0.2">
      <c r="A268" s="1">
        <v>263</v>
      </c>
      <c r="B268" t="str">
        <f>IF(ISERROR(MATCH(TRIM('Data Table'!D265),Settings!$G$15:$G$20,0)),TRIM('Data Table'!D265),LOOKUP(TRIM('Data Table'!D265),Settings!$G$15:$G$20,Settings!$H$15:$H$20))</f>
        <v>Randolph</v>
      </c>
      <c r="C268" t="str">
        <f>IF('Data Table'!F265="","SS",IF('Data Table'!F265="SF","SD",TRIM('Data Table'!F265)))</f>
        <v>SB</v>
      </c>
      <c r="D268" s="106">
        <f ca="1">IF(ISBLANK(OFFSET('Data Table'!$A263,2,Settings!$G$5-1)),"",OFFSET('Data Table'!$A263,2,Settings!$G$5-1))</f>
        <v>15</v>
      </c>
      <c r="E268" s="106" t="str">
        <f ca="1">IF(ISBLANK(OFFSET('Data Table'!$A263,2,Settings!$G$5)),"",OFFSET('Data Table'!$A263,2,Settings!$G$5))</f>
        <v/>
      </c>
      <c r="F268" s="143" t="str">
        <f ca="1">IF(ISBLANK(OFFSET('Data Table'!$A263,2,Settings!$G$5+1)),"",OFFSET('Data Table'!$A263,2,Settings!$G$5+1))</f>
        <v/>
      </c>
      <c r="G268">
        <f t="shared" ca="1" si="4"/>
        <v>15</v>
      </c>
      <c r="H268">
        <f ca="1">IF(G268=-888,"",IF(G268=-999,Settings!$G$4,IF(AND($AA$6="Excluded",G268&gt;=Settings!$G$2),"",G268)))</f>
        <v>15</v>
      </c>
      <c r="I268">
        <f ca="1">IF(OR(G268=-999,G268=-888,AND($AA$6="Excluded",G268&gt;=Settings!$G$2)),"",G268)</f>
        <v>15</v>
      </c>
      <c r="O268" s="46"/>
    </row>
    <row r="269" spans="1:15" x14ac:dyDescent="0.2">
      <c r="A269" s="1">
        <v>264</v>
      </c>
      <c r="B269" t="str">
        <f>IF(ISERROR(MATCH(TRIM('Data Table'!D266),Settings!$G$15:$G$20,0)),TRIM('Data Table'!D266),LOOKUP(TRIM('Data Table'!D266),Settings!$G$15:$G$20,Settings!$H$15:$H$20))</f>
        <v>Randolph</v>
      </c>
      <c r="C269" t="str">
        <f>IF('Data Table'!F266="","SS",IF('Data Table'!F266="SF","SD",TRIM('Data Table'!F266)))</f>
        <v>SB</v>
      </c>
      <c r="D269" s="106">
        <f ca="1">IF(ISBLANK(OFFSET('Data Table'!$A264,2,Settings!$G$5-1)),"",OFFSET('Data Table'!$A264,2,Settings!$G$5-1))</f>
        <v>10</v>
      </c>
      <c r="E269" s="106" t="str">
        <f ca="1">IF(ISBLANK(OFFSET('Data Table'!$A264,2,Settings!$G$5)),"",OFFSET('Data Table'!$A264,2,Settings!$G$5))</f>
        <v/>
      </c>
      <c r="F269" s="143" t="str">
        <f ca="1">IF(ISBLANK(OFFSET('Data Table'!$A264,2,Settings!$G$5+1)),"",OFFSET('Data Table'!$A264,2,Settings!$G$5+1))</f>
        <v/>
      </c>
      <c r="G269">
        <f t="shared" ca="1" si="4"/>
        <v>10</v>
      </c>
      <c r="H269">
        <f ca="1">IF(G269=-888,"",IF(G269=-999,Settings!$G$4,IF(AND($AA$6="Excluded",G269&gt;=Settings!$G$2),"",G269)))</f>
        <v>10</v>
      </c>
      <c r="I269">
        <f ca="1">IF(OR(G269=-999,G269=-888,AND($AA$6="Excluded",G269&gt;=Settings!$G$2)),"",G269)</f>
        <v>10</v>
      </c>
      <c r="O269" s="46"/>
    </row>
    <row r="270" spans="1:15" x14ac:dyDescent="0.2">
      <c r="A270" s="1">
        <v>265</v>
      </c>
      <c r="B270" t="str">
        <f>IF(ISERROR(MATCH(TRIM('Data Table'!D267),Settings!$G$15:$G$20,0)),TRIM('Data Table'!D267),LOOKUP(TRIM('Data Table'!D267),Settings!$G$15:$G$20,Settings!$H$15:$H$20))</f>
        <v>Randolph</v>
      </c>
      <c r="C270" t="str">
        <f>IF('Data Table'!F267="","SS",IF('Data Table'!F267="SF","SD",TRIM('Data Table'!F267)))</f>
        <v>SB</v>
      </c>
      <c r="D270" s="106">
        <f ca="1">IF(ISBLANK(OFFSET('Data Table'!$A265,2,Settings!$G$5-1)),"",OFFSET('Data Table'!$A265,2,Settings!$G$5-1))</f>
        <v>12</v>
      </c>
      <c r="E270" s="106" t="str">
        <f ca="1">IF(ISBLANK(OFFSET('Data Table'!$A265,2,Settings!$G$5)),"",OFFSET('Data Table'!$A265,2,Settings!$G$5))</f>
        <v/>
      </c>
      <c r="F270" s="143" t="str">
        <f ca="1">IF(ISBLANK(OFFSET('Data Table'!$A265,2,Settings!$G$5+1)),"",OFFSET('Data Table'!$A265,2,Settings!$G$5+1))</f>
        <v/>
      </c>
      <c r="G270">
        <f t="shared" ca="1" si="4"/>
        <v>12</v>
      </c>
      <c r="H270">
        <f ca="1">IF(G270=-888,"",IF(G270=-999,Settings!$G$4,IF(AND($AA$6="Excluded",G270&gt;=Settings!$G$2),"",G270)))</f>
        <v>12</v>
      </c>
      <c r="I270">
        <f ca="1">IF(OR(G270=-999,G270=-888,AND($AA$6="Excluded",G270&gt;=Settings!$G$2)),"",G270)</f>
        <v>12</v>
      </c>
      <c r="O270" s="46"/>
    </row>
    <row r="271" spans="1:15" x14ac:dyDescent="0.2">
      <c r="A271" s="1">
        <v>266</v>
      </c>
      <c r="B271" t="str">
        <f>IF(ISERROR(MATCH(TRIM('Data Table'!D268),Settings!$G$15:$G$20,0)),TRIM('Data Table'!D268),LOOKUP(TRIM('Data Table'!D268),Settings!$G$15:$G$20,Settings!$H$15:$H$20))</f>
        <v>Randolph</v>
      </c>
      <c r="C271" t="str">
        <f>IF('Data Table'!F268="","SS",IF('Data Table'!F268="SF","SD",TRIM('Data Table'!F268)))</f>
        <v>SB</v>
      </c>
      <c r="D271" s="106">
        <f ca="1">IF(ISBLANK(OFFSET('Data Table'!$A266,2,Settings!$G$5-1)),"",OFFSET('Data Table'!$A266,2,Settings!$G$5-1))</f>
        <v>12</v>
      </c>
      <c r="E271" s="106" t="str">
        <f ca="1">IF(ISBLANK(OFFSET('Data Table'!$A266,2,Settings!$G$5)),"",OFFSET('Data Table'!$A266,2,Settings!$G$5))</f>
        <v/>
      </c>
      <c r="F271" s="143" t="str">
        <f ca="1">IF(ISBLANK(OFFSET('Data Table'!$A266,2,Settings!$G$5+1)),"",OFFSET('Data Table'!$A266,2,Settings!$G$5+1))</f>
        <v/>
      </c>
      <c r="G271">
        <f t="shared" ca="1" si="4"/>
        <v>12</v>
      </c>
      <c r="H271">
        <f ca="1">IF(G271=-888,"",IF(G271=-999,Settings!$G$4,IF(AND($AA$6="Excluded",G271&gt;=Settings!$G$2),"",G271)))</f>
        <v>12</v>
      </c>
      <c r="I271">
        <f ca="1">IF(OR(G271=-999,G271=-888,AND($AA$6="Excluded",G271&gt;=Settings!$G$2)),"",G271)</f>
        <v>12</v>
      </c>
      <c r="O271" s="46"/>
    </row>
    <row r="272" spans="1:15" x14ac:dyDescent="0.2">
      <c r="A272" s="1">
        <v>267</v>
      </c>
      <c r="B272" t="str">
        <f>IF(ISERROR(MATCH(TRIM('Data Table'!D269),Settings!$G$15:$G$20,0)),TRIM('Data Table'!D269),LOOKUP(TRIM('Data Table'!D269),Settings!$G$15:$G$20,Settings!$H$15:$H$20))</f>
        <v>Randolph</v>
      </c>
      <c r="C272" t="str">
        <f>IF('Data Table'!F269="","SS",IF('Data Table'!F269="SF","SD",TRIM('Data Table'!F269)))</f>
        <v>SB</v>
      </c>
      <c r="D272" s="106">
        <f ca="1">IF(ISBLANK(OFFSET('Data Table'!$A267,2,Settings!$G$5-1)),"",OFFSET('Data Table'!$A267,2,Settings!$G$5-1))</f>
        <v>14</v>
      </c>
      <c r="E272" s="106" t="str">
        <f ca="1">IF(ISBLANK(OFFSET('Data Table'!$A267,2,Settings!$G$5)),"",OFFSET('Data Table'!$A267,2,Settings!$G$5))</f>
        <v/>
      </c>
      <c r="F272" s="143" t="str">
        <f ca="1">IF(ISBLANK(OFFSET('Data Table'!$A267,2,Settings!$G$5+1)),"",OFFSET('Data Table'!$A267,2,Settings!$G$5+1))</f>
        <v/>
      </c>
      <c r="G272">
        <f t="shared" ca="1" si="4"/>
        <v>14</v>
      </c>
      <c r="H272">
        <f ca="1">IF(G272=-888,"",IF(G272=-999,Settings!$G$4,IF(AND($AA$6="Excluded",G272&gt;=Settings!$G$2),"",G272)))</f>
        <v>14</v>
      </c>
      <c r="I272">
        <f ca="1">IF(OR(G272=-999,G272=-888,AND($AA$6="Excluded",G272&gt;=Settings!$G$2)),"",G272)</f>
        <v>14</v>
      </c>
      <c r="O272" s="46"/>
    </row>
    <row r="273" spans="1:15" x14ac:dyDescent="0.2">
      <c r="A273" s="1">
        <v>268</v>
      </c>
      <c r="B273" t="str">
        <f>IF(ISERROR(MATCH(TRIM('Data Table'!D270),Settings!$G$15:$G$20,0)),TRIM('Data Table'!D270),LOOKUP(TRIM('Data Table'!D270),Settings!$G$15:$G$20,Settings!$H$15:$H$20))</f>
        <v>Randolph</v>
      </c>
      <c r="C273" t="str">
        <f>IF('Data Table'!F270="","SS",IF('Data Table'!F270="SF","SD",TRIM('Data Table'!F270)))</f>
        <v>SB</v>
      </c>
      <c r="D273" s="106">
        <f ca="1">IF(ISBLANK(OFFSET('Data Table'!$A268,2,Settings!$G$5-1)),"",OFFSET('Data Table'!$A268,2,Settings!$G$5-1))</f>
        <v>24</v>
      </c>
      <c r="E273" s="106" t="str">
        <f ca="1">IF(ISBLANK(OFFSET('Data Table'!$A268,2,Settings!$G$5)),"",OFFSET('Data Table'!$A268,2,Settings!$G$5))</f>
        <v/>
      </c>
      <c r="F273" s="143" t="str">
        <f ca="1">IF(ISBLANK(OFFSET('Data Table'!$A268,2,Settings!$G$5+1)),"",OFFSET('Data Table'!$A268,2,Settings!$G$5+1))</f>
        <v/>
      </c>
      <c r="G273">
        <f t="shared" ca="1" si="4"/>
        <v>24</v>
      </c>
      <c r="H273">
        <f ca="1">IF(G273=-888,"",IF(G273=-999,Settings!$G$4,IF(AND($AA$6="Excluded",G273&gt;=Settings!$G$2),"",G273)))</f>
        <v>24</v>
      </c>
      <c r="I273">
        <f ca="1">IF(OR(G273=-999,G273=-888,AND($AA$6="Excluded",G273&gt;=Settings!$G$2)),"",G273)</f>
        <v>24</v>
      </c>
      <c r="O273" s="46"/>
    </row>
    <row r="274" spans="1:15" x14ac:dyDescent="0.2">
      <c r="A274" s="1">
        <v>269</v>
      </c>
      <c r="B274" t="str">
        <f>IF(ISERROR(MATCH(TRIM('Data Table'!D271),Settings!$G$15:$G$20,0)),TRIM('Data Table'!D271),LOOKUP(TRIM('Data Table'!D271),Settings!$G$15:$G$20,Settings!$H$15:$H$20))</f>
        <v>Randolph</v>
      </c>
      <c r="C274" t="str">
        <f>IF('Data Table'!F271="","SS",IF('Data Table'!F271="SF","SD",TRIM('Data Table'!F271)))</f>
        <v>SB</v>
      </c>
      <c r="D274" s="106">
        <f ca="1">IF(ISBLANK(OFFSET('Data Table'!$A269,2,Settings!$G$5-1)),"",OFFSET('Data Table'!$A269,2,Settings!$G$5-1))</f>
        <v>14</v>
      </c>
      <c r="E274" s="106" t="str">
        <f ca="1">IF(ISBLANK(OFFSET('Data Table'!$A269,2,Settings!$G$5)),"",OFFSET('Data Table'!$A269,2,Settings!$G$5))</f>
        <v/>
      </c>
      <c r="F274" s="143" t="str">
        <f ca="1">IF(ISBLANK(OFFSET('Data Table'!$A269,2,Settings!$G$5+1)),"",OFFSET('Data Table'!$A269,2,Settings!$G$5+1))</f>
        <v/>
      </c>
      <c r="G274">
        <f t="shared" ca="1" si="4"/>
        <v>14</v>
      </c>
      <c r="H274">
        <f ca="1">IF(G274=-888,"",IF(G274=-999,Settings!$G$4,IF(AND($AA$6="Excluded",G274&gt;=Settings!$G$2),"",G274)))</f>
        <v>14</v>
      </c>
      <c r="I274">
        <f ca="1">IF(OR(G274=-999,G274=-888,AND($AA$6="Excluded",G274&gt;=Settings!$G$2)),"",G274)</f>
        <v>14</v>
      </c>
      <c r="O274" s="46"/>
    </row>
    <row r="275" spans="1:15" x14ac:dyDescent="0.2">
      <c r="A275" s="1">
        <v>270</v>
      </c>
      <c r="B275" t="str">
        <f>IF(ISERROR(MATCH(TRIM('Data Table'!D272),Settings!$G$15:$G$20,0)),TRIM('Data Table'!D272),LOOKUP(TRIM('Data Table'!D272),Settings!$G$15:$G$20,Settings!$H$15:$H$20))</f>
        <v>Randolph</v>
      </c>
      <c r="C275" t="str">
        <f>IF('Data Table'!F272="","SS",IF('Data Table'!F272="SF","SD",TRIM('Data Table'!F272)))</f>
        <v>SB</v>
      </c>
      <c r="D275" s="106">
        <f ca="1">IF(ISBLANK(OFFSET('Data Table'!$A270,2,Settings!$G$5-1)),"",OFFSET('Data Table'!$A270,2,Settings!$G$5-1))</f>
        <v>22</v>
      </c>
      <c r="E275" s="106" t="str">
        <f ca="1">IF(ISBLANK(OFFSET('Data Table'!$A270,2,Settings!$G$5)),"",OFFSET('Data Table'!$A270,2,Settings!$G$5))</f>
        <v/>
      </c>
      <c r="F275" s="143" t="str">
        <f ca="1">IF(ISBLANK(OFFSET('Data Table'!$A270,2,Settings!$G$5+1)),"",OFFSET('Data Table'!$A270,2,Settings!$G$5+1))</f>
        <v/>
      </c>
      <c r="G275">
        <f t="shared" ca="1" si="4"/>
        <v>22</v>
      </c>
      <c r="H275">
        <f ca="1">IF(G275=-888,"",IF(G275=-999,Settings!$G$4,IF(AND($AA$6="Excluded",G275&gt;=Settings!$G$2),"",G275)))</f>
        <v>22</v>
      </c>
      <c r="I275">
        <f ca="1">IF(OR(G275=-999,G275=-888,AND($AA$6="Excluded",G275&gt;=Settings!$G$2)),"",G275)</f>
        <v>22</v>
      </c>
      <c r="O275" s="46"/>
    </row>
    <row r="276" spans="1:15" x14ac:dyDescent="0.2">
      <c r="A276" s="1">
        <v>271</v>
      </c>
      <c r="B276" t="str">
        <f>IF(ISERROR(MATCH(TRIM('Data Table'!D273),Settings!$G$15:$G$20,0)),TRIM('Data Table'!D273),LOOKUP(TRIM('Data Table'!D273),Settings!$G$15:$G$20,Settings!$H$15:$H$20))</f>
        <v>McDowell</v>
      </c>
      <c r="C276" t="str">
        <f>IF('Data Table'!F273="","SS",IF('Data Table'!F273="SF","SD",TRIM('Data Table'!F273)))</f>
        <v>SB</v>
      </c>
      <c r="D276" s="106">
        <f ca="1">IF(ISBLANK(OFFSET('Data Table'!$A271,2,Settings!$G$5-1)),"",OFFSET('Data Table'!$A271,2,Settings!$G$5-1))</f>
        <v>10.4</v>
      </c>
      <c r="E276" s="106" t="str">
        <f ca="1">IF(ISBLANK(OFFSET('Data Table'!$A271,2,Settings!$G$5)),"",OFFSET('Data Table'!$A271,2,Settings!$G$5))</f>
        <v/>
      </c>
      <c r="F276" s="143" t="str">
        <f ca="1">IF(ISBLANK(OFFSET('Data Table'!$A271,2,Settings!$G$5+1)),"",OFFSET('Data Table'!$A271,2,Settings!$G$5+1))</f>
        <v/>
      </c>
      <c r="G276">
        <f t="shared" ca="1" si="4"/>
        <v>10.4</v>
      </c>
      <c r="H276">
        <f ca="1">IF(G276=-888,"",IF(G276=-999,Settings!$G$4,IF(AND($AA$6="Excluded",G276&gt;=Settings!$G$2),"",G276)))</f>
        <v>10.4</v>
      </c>
      <c r="I276">
        <f ca="1">IF(OR(G276=-999,G276=-888,AND($AA$6="Excluded",G276&gt;=Settings!$G$2)),"",G276)</f>
        <v>10.4</v>
      </c>
      <c r="O276" s="46"/>
    </row>
    <row r="277" spans="1:15" x14ac:dyDescent="0.2">
      <c r="A277" s="1">
        <v>272</v>
      </c>
      <c r="B277" t="str">
        <f>IF(ISERROR(MATCH(TRIM('Data Table'!D274),Settings!$G$15:$G$20,0)),TRIM('Data Table'!D274),LOOKUP(TRIM('Data Table'!D274),Settings!$G$15:$G$20,Settings!$H$15:$H$20))</f>
        <v>Transylvania</v>
      </c>
      <c r="C277" t="str">
        <f>IF('Data Table'!F274="","SS",IF('Data Table'!F274="SF","SD",TRIM('Data Table'!F274)))</f>
        <v>SS</v>
      </c>
      <c r="D277" s="106" t="str">
        <f ca="1">IF(ISBLANK(OFFSET('Data Table'!$A272,2,Settings!$G$5-1)),"",OFFSET('Data Table'!$A272,2,Settings!$G$5-1))</f>
        <v/>
      </c>
      <c r="E277" s="106">
        <f ca="1">IF(ISBLANK(OFFSET('Data Table'!$A272,2,Settings!$G$5)),"",OFFSET('Data Table'!$A272,2,Settings!$G$5))</f>
        <v>46.8</v>
      </c>
      <c r="F277" s="143" t="str">
        <f ca="1">IF(ISBLANK(OFFSET('Data Table'!$A272,2,Settings!$G$5+1)),"",OFFSET('Data Table'!$A272,2,Settings!$G$5+1))</f>
        <v/>
      </c>
      <c r="G277">
        <f t="shared" ca="1" si="4"/>
        <v>46.8</v>
      </c>
      <c r="H277">
        <f ca="1">IF(G277=-888,"",IF(G277=-999,Settings!$G$4,IF(AND($AA$6="Excluded",G277&gt;=Settings!$G$2),"",G277)))</f>
        <v>46.8</v>
      </c>
      <c r="I277">
        <f ca="1">IF(OR(G277=-999,G277=-888,AND($AA$6="Excluded",G277&gt;=Settings!$G$2)),"",G277)</f>
        <v>46.8</v>
      </c>
      <c r="O277" s="46"/>
    </row>
    <row r="278" spans="1:15" x14ac:dyDescent="0.2">
      <c r="A278" s="1">
        <v>273</v>
      </c>
      <c r="B278" t="str">
        <f>IF(ISERROR(MATCH(TRIM('Data Table'!D275),Settings!$G$15:$G$20,0)),TRIM('Data Table'!D275),LOOKUP(TRIM('Data Table'!D275),Settings!$G$15:$G$20,Settings!$H$15:$H$20))</f>
        <v>Transylvania</v>
      </c>
      <c r="C278" t="str">
        <f>IF('Data Table'!F275="","SS",IF('Data Table'!F275="SF","SD",TRIM('Data Table'!F275)))</f>
        <v>SD</v>
      </c>
      <c r="D278" s="106" t="str">
        <f ca="1">IF(ISBLANK(OFFSET('Data Table'!$A273,2,Settings!$G$5-1)),"",OFFSET('Data Table'!$A273,2,Settings!$G$5-1))</f>
        <v/>
      </c>
      <c r="E278" s="106">
        <f ca="1">IF(ISBLANK(OFFSET('Data Table'!$A273,2,Settings!$G$5)),"",OFFSET('Data Table'!$A273,2,Settings!$G$5))</f>
        <v>7.4</v>
      </c>
      <c r="F278" s="143" t="str">
        <f ca="1">IF(ISBLANK(OFFSET('Data Table'!$A273,2,Settings!$G$5+1)),"",OFFSET('Data Table'!$A273,2,Settings!$G$5+1))</f>
        <v/>
      </c>
      <c r="G278">
        <f t="shared" ca="1" si="4"/>
        <v>7.4</v>
      </c>
      <c r="H278">
        <f ca="1">IF(G278=-888,"",IF(G278=-999,Settings!$G$4,IF(AND($AA$6="Excluded",G278&gt;=Settings!$G$2),"",G278)))</f>
        <v>7.4</v>
      </c>
      <c r="I278">
        <f ca="1">IF(OR(G278=-999,G278=-888,AND($AA$6="Excluded",G278&gt;=Settings!$G$2)),"",G278)</f>
        <v>7.4</v>
      </c>
      <c r="O278" s="46"/>
    </row>
    <row r="279" spans="1:15" x14ac:dyDescent="0.2">
      <c r="A279" s="1">
        <v>274</v>
      </c>
      <c r="B279" t="str">
        <f>IF(ISERROR(MATCH(TRIM('Data Table'!D276),Settings!$G$15:$G$20,0)),TRIM('Data Table'!D276),LOOKUP(TRIM('Data Table'!D276),Settings!$G$15:$G$20,Settings!$H$15:$H$20))</f>
        <v>Mecklenburg</v>
      </c>
      <c r="C279" t="str">
        <f>IF('Data Table'!F276="","SS",IF('Data Table'!F276="SF","SD",TRIM('Data Table'!F276)))</f>
        <v>SS</v>
      </c>
      <c r="D279" s="106" t="str">
        <f ca="1">IF(ISBLANK(OFFSET('Data Table'!$A274,2,Settings!$G$5-1)),"",OFFSET('Data Table'!$A274,2,Settings!$G$5-1))</f>
        <v/>
      </c>
      <c r="E279" s="106" t="str">
        <f ca="1">IF(ISBLANK(OFFSET('Data Table'!$A274,2,Settings!$G$5)),"",OFFSET('Data Table'!$A274,2,Settings!$G$5))</f>
        <v/>
      </c>
      <c r="F279" s="143">
        <f ca="1">IF(ISBLANK(OFFSET('Data Table'!$A274,2,Settings!$G$5+1)),"",OFFSET('Data Table'!$A274,2,Settings!$G$5+1))</f>
        <v>1</v>
      </c>
      <c r="G279">
        <f t="shared" ca="1" si="4"/>
        <v>1</v>
      </c>
      <c r="H279">
        <f ca="1">IF(G279=-888,"",IF(G279=-999,Settings!$G$4,IF(AND($AA$6="Excluded",G279&gt;=Settings!$G$2),"",G279)))</f>
        <v>1</v>
      </c>
      <c r="I279">
        <f ca="1">IF(OR(G279=-999,G279=-888,AND($AA$6="Excluded",G279&gt;=Settings!$G$2)),"",G279)</f>
        <v>1</v>
      </c>
      <c r="O279" s="46"/>
    </row>
    <row r="280" spans="1:15" x14ac:dyDescent="0.2">
      <c r="A280" s="1">
        <v>275</v>
      </c>
      <c r="B280" t="str">
        <f>IF(ISERROR(MATCH(TRIM('Data Table'!D277),Settings!$G$15:$G$20,0)),TRIM('Data Table'!D277),LOOKUP(TRIM('Data Table'!D277),Settings!$G$15:$G$20,Settings!$H$15:$H$20))</f>
        <v>Mecklenburg</v>
      </c>
      <c r="C280" t="str">
        <f>IF('Data Table'!F277="","SS",IF('Data Table'!F277="SF","SD",TRIM('Data Table'!F277)))</f>
        <v>SB</v>
      </c>
      <c r="D280" s="106" t="str">
        <f ca="1">IF(ISBLANK(OFFSET('Data Table'!$A275,2,Settings!$G$5-1)),"",OFFSET('Data Table'!$A275,2,Settings!$G$5-1))</f>
        <v/>
      </c>
      <c r="E280" s="106" t="str">
        <f ca="1">IF(ISBLANK(OFFSET('Data Table'!$A275,2,Settings!$G$5)),"",OFFSET('Data Table'!$A275,2,Settings!$G$5))</f>
        <v/>
      </c>
      <c r="F280" s="143">
        <f ca="1">IF(ISBLANK(OFFSET('Data Table'!$A275,2,Settings!$G$5+1)),"",OFFSET('Data Table'!$A275,2,Settings!$G$5+1))</f>
        <v>0.38</v>
      </c>
      <c r="G280">
        <f t="shared" ca="1" si="4"/>
        <v>0.38</v>
      </c>
      <c r="H280">
        <f ca="1">IF(G280=-888,"",IF(G280=-999,Settings!$G$4,IF(AND($AA$6="Excluded",G280&gt;=Settings!$G$2),"",G280)))</f>
        <v>0.38</v>
      </c>
      <c r="I280">
        <f ca="1">IF(OR(G280=-999,G280=-888,AND($AA$6="Excluded",G280&gt;=Settings!$G$2)),"",G280)</f>
        <v>0.38</v>
      </c>
      <c r="O280" s="46"/>
    </row>
    <row r="281" spans="1:15" x14ac:dyDescent="0.2">
      <c r="A281" s="1">
        <v>276</v>
      </c>
      <c r="B281" t="str">
        <f>IF(ISERROR(MATCH(TRIM('Data Table'!D278),Settings!$G$15:$G$20,0)),TRIM('Data Table'!D278),LOOKUP(TRIM('Data Table'!D278),Settings!$G$15:$G$20,Settings!$H$15:$H$20))</f>
        <v>Forsyth</v>
      </c>
      <c r="C281" t="str">
        <f>IF('Data Table'!F278="","SS",IF('Data Table'!F278="SF","SD",TRIM('Data Table'!F278)))</f>
        <v>SS</v>
      </c>
      <c r="D281" s="106">
        <f ca="1">IF(ISBLANK(OFFSET('Data Table'!$A276,2,Settings!$G$5-1)),"",OFFSET('Data Table'!$A276,2,Settings!$G$5-1))</f>
        <v>72</v>
      </c>
      <c r="E281" s="106" t="str">
        <f ca="1">IF(ISBLANK(OFFSET('Data Table'!$A276,2,Settings!$G$5)),"",OFFSET('Data Table'!$A276,2,Settings!$G$5))</f>
        <v/>
      </c>
      <c r="F281" s="143" t="str">
        <f ca="1">IF(ISBLANK(OFFSET('Data Table'!$A276,2,Settings!$G$5+1)),"",OFFSET('Data Table'!$A276,2,Settings!$G$5+1))</f>
        <v/>
      </c>
      <c r="G281">
        <f t="shared" ca="1" si="4"/>
        <v>72</v>
      </c>
      <c r="H281">
        <f ca="1">IF(G281=-888,"",IF(G281=-999,Settings!$G$4,IF(AND($AA$6="Excluded",G281&gt;=Settings!$G$2),"",G281)))</f>
        <v>72</v>
      </c>
      <c r="I281">
        <f ca="1">IF(OR(G281=-999,G281=-888,AND($AA$6="Excluded",G281&gt;=Settings!$G$2)),"",G281)</f>
        <v>72</v>
      </c>
      <c r="O281" s="46"/>
    </row>
    <row r="282" spans="1:15" x14ac:dyDescent="0.2">
      <c r="A282" s="1">
        <v>277</v>
      </c>
      <c r="B282" t="str">
        <f>IF(ISERROR(MATCH(TRIM('Data Table'!D279),Settings!$G$15:$G$20,0)),TRIM('Data Table'!D279),LOOKUP(TRIM('Data Table'!D279),Settings!$G$15:$G$20,Settings!$H$15:$H$20))</f>
        <v>Buncombe</v>
      </c>
      <c r="C282" t="str">
        <f>IF('Data Table'!F279="","SS",IF('Data Table'!F279="SF","SD",TRIM('Data Table'!F279)))</f>
        <v>SS</v>
      </c>
      <c r="D282" s="106">
        <f ca="1">IF(ISBLANK(OFFSET('Data Table'!$A277,2,Settings!$G$5-1)),"",OFFSET('Data Table'!$A277,2,Settings!$G$5-1))</f>
        <v>163</v>
      </c>
      <c r="E282" s="106" t="str">
        <f ca="1">IF(ISBLANK(OFFSET('Data Table'!$A277,2,Settings!$G$5)),"",OFFSET('Data Table'!$A277,2,Settings!$G$5))</f>
        <v/>
      </c>
      <c r="F282" s="143" t="str">
        <f ca="1">IF(ISBLANK(OFFSET('Data Table'!$A277,2,Settings!$G$5+1)),"",OFFSET('Data Table'!$A277,2,Settings!$G$5+1))</f>
        <v/>
      </c>
      <c r="G282">
        <f t="shared" ca="1" si="4"/>
        <v>163</v>
      </c>
      <c r="H282">
        <f ca="1">IF(G282=-888,"",IF(G282=-999,Settings!$G$4,IF(AND($AA$6="Excluded",G282&gt;=Settings!$G$2),"",G282)))</f>
        <v>163</v>
      </c>
      <c r="I282">
        <f ca="1">IF(OR(G282=-999,G282=-888,AND($AA$6="Excluded",G282&gt;=Settings!$G$2)),"",G282)</f>
        <v>163</v>
      </c>
      <c r="O282" s="46"/>
    </row>
    <row r="283" spans="1:15" x14ac:dyDescent="0.2">
      <c r="A283" s="1">
        <v>278</v>
      </c>
      <c r="B283" t="str">
        <f>IF(ISERROR(MATCH(TRIM('Data Table'!D280),Settings!$G$15:$G$20,0)),TRIM('Data Table'!D280),LOOKUP(TRIM('Data Table'!D280),Settings!$G$15:$G$20,Settings!$H$15:$H$20))</f>
        <v>Buncombe</v>
      </c>
      <c r="C283" t="str">
        <f>IF('Data Table'!F280="","SS",IF('Data Table'!F280="SF","SD",TRIM('Data Table'!F280)))</f>
        <v>SB</v>
      </c>
      <c r="D283" s="106">
        <f ca="1">IF(ISBLANK(OFFSET('Data Table'!$A278,2,Settings!$G$5-1)),"",OFFSET('Data Table'!$A278,2,Settings!$G$5-1))</f>
        <v>168</v>
      </c>
      <c r="E283" s="106" t="str">
        <f ca="1">IF(ISBLANK(OFFSET('Data Table'!$A278,2,Settings!$G$5)),"",OFFSET('Data Table'!$A278,2,Settings!$G$5))</f>
        <v/>
      </c>
      <c r="F283" s="143" t="str">
        <f ca="1">IF(ISBLANK(OFFSET('Data Table'!$A278,2,Settings!$G$5+1)),"",OFFSET('Data Table'!$A278,2,Settings!$G$5+1))</f>
        <v/>
      </c>
      <c r="G283">
        <f t="shared" ca="1" si="4"/>
        <v>168</v>
      </c>
      <c r="H283">
        <f ca="1">IF(G283=-888,"",IF(G283=-999,Settings!$G$4,IF(AND($AA$6="Excluded",G283&gt;=Settings!$G$2),"",G283)))</f>
        <v>168</v>
      </c>
      <c r="I283">
        <f ca="1">IF(OR(G283=-999,G283=-888,AND($AA$6="Excluded",G283&gt;=Settings!$G$2)),"",G283)</f>
        <v>168</v>
      </c>
      <c r="O283" s="46"/>
    </row>
    <row r="284" spans="1:15" x14ac:dyDescent="0.2">
      <c r="A284" s="1">
        <v>279</v>
      </c>
      <c r="B284" t="str">
        <f>IF(ISERROR(MATCH(TRIM('Data Table'!D281),Settings!$G$15:$G$20,0)),TRIM('Data Table'!D281),LOOKUP(TRIM('Data Table'!D281),Settings!$G$15:$G$20,Settings!$H$15:$H$20))</f>
        <v>Buncombe</v>
      </c>
      <c r="C284" t="str">
        <f>IF('Data Table'!F281="","SS",IF('Data Table'!F281="SF","SD",TRIM('Data Table'!F281)))</f>
        <v>SS</v>
      </c>
      <c r="D284" s="106">
        <f ca="1">IF(ISBLANK(OFFSET('Data Table'!$A279,2,Settings!$G$5-1)),"",OFFSET('Data Table'!$A279,2,Settings!$G$5-1))</f>
        <v>9.3000000000000007</v>
      </c>
      <c r="E284" s="106" t="str">
        <f ca="1">IF(ISBLANK(OFFSET('Data Table'!$A279,2,Settings!$G$5)),"",OFFSET('Data Table'!$A279,2,Settings!$G$5))</f>
        <v/>
      </c>
      <c r="F284" s="143" t="str">
        <f ca="1">IF(ISBLANK(OFFSET('Data Table'!$A279,2,Settings!$G$5+1)),"",OFFSET('Data Table'!$A279,2,Settings!$G$5+1))</f>
        <v/>
      </c>
      <c r="G284">
        <f t="shared" ca="1" si="4"/>
        <v>9.3000000000000007</v>
      </c>
      <c r="H284">
        <f ca="1">IF(G284=-888,"",IF(G284=-999,Settings!$G$4,IF(AND($AA$6="Excluded",G284&gt;=Settings!$G$2),"",G284)))</f>
        <v>9.3000000000000007</v>
      </c>
      <c r="I284">
        <f ca="1">IF(OR(G284=-999,G284=-888,AND($AA$6="Excluded",G284&gt;=Settings!$G$2)),"",G284)</f>
        <v>9.3000000000000007</v>
      </c>
      <c r="O284" s="46"/>
    </row>
    <row r="285" spans="1:15" x14ac:dyDescent="0.2">
      <c r="A285" s="1">
        <v>280</v>
      </c>
      <c r="B285" t="str">
        <f>IF(ISERROR(MATCH(TRIM('Data Table'!D282),Settings!$G$15:$G$20,0)),TRIM('Data Table'!D282),LOOKUP(TRIM('Data Table'!D282),Settings!$G$15:$G$20,Settings!$H$15:$H$20))</f>
        <v>Forsyth</v>
      </c>
      <c r="C285" t="str">
        <f>IF('Data Table'!F282="","SS",IF('Data Table'!F282="SF","SD",TRIM('Data Table'!F282)))</f>
        <v>SB</v>
      </c>
      <c r="D285" s="106">
        <f ca="1">IF(ISBLANK(OFFSET('Data Table'!$A280,2,Settings!$G$5-1)),"",OFFSET('Data Table'!$A280,2,Settings!$G$5-1))</f>
        <v>6</v>
      </c>
      <c r="E285" s="106" t="str">
        <f ca="1">IF(ISBLANK(OFFSET('Data Table'!$A280,2,Settings!$G$5)),"",OFFSET('Data Table'!$A280,2,Settings!$G$5))</f>
        <v/>
      </c>
      <c r="F285" s="143" t="str">
        <f ca="1">IF(ISBLANK(OFFSET('Data Table'!$A280,2,Settings!$G$5+1)),"",OFFSET('Data Table'!$A280,2,Settings!$G$5+1))</f>
        <v/>
      </c>
      <c r="G285">
        <f t="shared" ca="1" si="4"/>
        <v>6</v>
      </c>
      <c r="H285">
        <f ca="1">IF(G285=-888,"",IF(G285=-999,Settings!$G$4,IF(AND($AA$6="Excluded",G285&gt;=Settings!$G$2),"",G285)))</f>
        <v>6</v>
      </c>
      <c r="I285">
        <f ca="1">IF(OR(G285=-999,G285=-888,AND($AA$6="Excluded",G285&gt;=Settings!$G$2)),"",G285)</f>
        <v>6</v>
      </c>
      <c r="O285" s="46"/>
    </row>
    <row r="286" spans="1:15" x14ac:dyDescent="0.2">
      <c r="A286" s="1">
        <v>281</v>
      </c>
      <c r="B286" t="str">
        <f>IF(ISERROR(MATCH(TRIM('Data Table'!D283),Settings!$G$15:$G$20,0)),TRIM('Data Table'!D283),LOOKUP(TRIM('Data Table'!D283),Settings!$G$15:$G$20,Settings!$H$15:$H$20))</f>
        <v>Forsyth</v>
      </c>
      <c r="C286" t="str">
        <f>IF('Data Table'!F283="","SS",IF('Data Table'!F283="SF","SD",TRIM('Data Table'!F283)))</f>
        <v>SB</v>
      </c>
      <c r="D286" s="106">
        <f ca="1">IF(ISBLANK(OFFSET('Data Table'!$A281,2,Settings!$G$5-1)),"",OFFSET('Data Table'!$A281,2,Settings!$G$5-1))</f>
        <v>5.6</v>
      </c>
      <c r="E286" s="106" t="str">
        <f ca="1">IF(ISBLANK(OFFSET('Data Table'!$A281,2,Settings!$G$5)),"",OFFSET('Data Table'!$A281,2,Settings!$G$5))</f>
        <v/>
      </c>
      <c r="F286" s="143" t="str">
        <f ca="1">IF(ISBLANK(OFFSET('Data Table'!$A281,2,Settings!$G$5+1)),"",OFFSET('Data Table'!$A281,2,Settings!$G$5+1))</f>
        <v/>
      </c>
      <c r="G286">
        <f t="shared" ca="1" si="4"/>
        <v>5.6</v>
      </c>
      <c r="H286">
        <f ca="1">IF(G286=-888,"",IF(G286=-999,Settings!$G$4,IF(AND($AA$6="Excluded",G286&gt;=Settings!$G$2),"",G286)))</f>
        <v>5.6</v>
      </c>
      <c r="I286">
        <f ca="1">IF(OR(G286=-999,G286=-888,AND($AA$6="Excluded",G286&gt;=Settings!$G$2)),"",G286)</f>
        <v>5.6</v>
      </c>
      <c r="O286" s="46"/>
    </row>
    <row r="287" spans="1:15" x14ac:dyDescent="0.2">
      <c r="A287" s="1">
        <v>282</v>
      </c>
      <c r="B287" t="str">
        <f>IF(ISERROR(MATCH(TRIM('Data Table'!D284),Settings!$G$15:$G$20,0)),TRIM('Data Table'!D284),LOOKUP(TRIM('Data Table'!D284),Settings!$G$15:$G$20,Settings!$H$15:$H$20))</f>
        <v>Forsyth</v>
      </c>
      <c r="C287" t="str">
        <f>IF('Data Table'!F284="","SS",IF('Data Table'!F284="SF","SD",TRIM('Data Table'!F284)))</f>
        <v>SB</v>
      </c>
      <c r="D287" s="106">
        <f ca="1">IF(ISBLANK(OFFSET('Data Table'!$A282,2,Settings!$G$5-1)),"",OFFSET('Data Table'!$A282,2,Settings!$G$5-1))</f>
        <v>3.4</v>
      </c>
      <c r="E287" s="106" t="str">
        <f ca="1">IF(ISBLANK(OFFSET('Data Table'!$A282,2,Settings!$G$5)),"",OFFSET('Data Table'!$A282,2,Settings!$G$5))</f>
        <v/>
      </c>
      <c r="F287" s="143" t="str">
        <f ca="1">IF(ISBLANK(OFFSET('Data Table'!$A282,2,Settings!$G$5+1)),"",OFFSET('Data Table'!$A282,2,Settings!$G$5+1))</f>
        <v/>
      </c>
      <c r="G287">
        <f t="shared" ca="1" si="4"/>
        <v>3.4</v>
      </c>
      <c r="H287">
        <f ca="1">IF(G287=-888,"",IF(G287=-999,Settings!$G$4,IF(AND($AA$6="Excluded",G287&gt;=Settings!$G$2),"",G287)))</f>
        <v>3.4</v>
      </c>
      <c r="I287">
        <f ca="1">IF(OR(G287=-999,G287=-888,AND($AA$6="Excluded",G287&gt;=Settings!$G$2)),"",G287)</f>
        <v>3.4</v>
      </c>
      <c r="O287" s="46"/>
    </row>
    <row r="288" spans="1:15" x14ac:dyDescent="0.2">
      <c r="A288" s="1">
        <v>283</v>
      </c>
      <c r="B288" t="str">
        <f>IF(ISERROR(MATCH(TRIM('Data Table'!D285),Settings!$G$15:$G$20,0)),TRIM('Data Table'!D285),LOOKUP(TRIM('Data Table'!D285),Settings!$G$15:$G$20,Settings!$H$15:$H$20))</f>
        <v>Forsyth</v>
      </c>
      <c r="C288" t="str">
        <f>IF('Data Table'!F285="","SS",IF('Data Table'!F285="SF","SD",TRIM('Data Table'!F285)))</f>
        <v>SB</v>
      </c>
      <c r="D288" s="106">
        <f ca="1">IF(ISBLANK(OFFSET('Data Table'!$A283,2,Settings!$G$5-1)),"",OFFSET('Data Table'!$A283,2,Settings!$G$5-1))</f>
        <v>3.4</v>
      </c>
      <c r="E288" s="106" t="str">
        <f ca="1">IF(ISBLANK(OFFSET('Data Table'!$A283,2,Settings!$G$5)),"",OFFSET('Data Table'!$A283,2,Settings!$G$5))</f>
        <v/>
      </c>
      <c r="F288" s="143" t="str">
        <f ca="1">IF(ISBLANK(OFFSET('Data Table'!$A283,2,Settings!$G$5+1)),"",OFFSET('Data Table'!$A283,2,Settings!$G$5+1))</f>
        <v/>
      </c>
      <c r="G288">
        <f t="shared" ca="1" si="4"/>
        <v>3.4</v>
      </c>
      <c r="H288">
        <f ca="1">IF(G288=-888,"",IF(G288=-999,Settings!$G$4,IF(AND($AA$6="Excluded",G288&gt;=Settings!$G$2),"",G288)))</f>
        <v>3.4</v>
      </c>
      <c r="I288">
        <f ca="1">IF(OR(G288=-999,G288=-888,AND($AA$6="Excluded",G288&gt;=Settings!$G$2)),"",G288)</f>
        <v>3.4</v>
      </c>
      <c r="O288" s="46"/>
    </row>
    <row r="289" spans="1:15" x14ac:dyDescent="0.2">
      <c r="A289" s="1">
        <v>284</v>
      </c>
      <c r="B289" t="str">
        <f>IF(ISERROR(MATCH(TRIM('Data Table'!D286),Settings!$G$15:$G$20,0)),TRIM('Data Table'!D286),LOOKUP(TRIM('Data Table'!D286),Settings!$G$15:$G$20,Settings!$H$15:$H$20))</f>
        <v>Forsyth</v>
      </c>
      <c r="C289" t="str">
        <f>IF('Data Table'!F286="","SS",IF('Data Table'!F286="SF","SD",TRIM('Data Table'!F286)))</f>
        <v>SB</v>
      </c>
      <c r="D289" s="106">
        <f ca="1">IF(ISBLANK(OFFSET('Data Table'!$A284,2,Settings!$G$5-1)),"",OFFSET('Data Table'!$A284,2,Settings!$G$5-1))</f>
        <v>2.6</v>
      </c>
      <c r="E289" s="106" t="str">
        <f ca="1">IF(ISBLANK(OFFSET('Data Table'!$A284,2,Settings!$G$5)),"",OFFSET('Data Table'!$A284,2,Settings!$G$5))</f>
        <v/>
      </c>
      <c r="F289" s="143" t="str">
        <f ca="1">IF(ISBLANK(OFFSET('Data Table'!$A284,2,Settings!$G$5+1)),"",OFFSET('Data Table'!$A284,2,Settings!$G$5+1))</f>
        <v/>
      </c>
      <c r="G289">
        <f t="shared" ca="1" si="4"/>
        <v>2.6</v>
      </c>
      <c r="H289">
        <f ca="1">IF(G289=-888,"",IF(G289=-999,Settings!$G$4,IF(AND($AA$6="Excluded",G289&gt;=Settings!$G$2),"",G289)))</f>
        <v>2.6</v>
      </c>
      <c r="I289">
        <f ca="1">IF(OR(G289=-999,G289=-888,AND($AA$6="Excluded",G289&gt;=Settings!$G$2)),"",G289)</f>
        <v>2.6</v>
      </c>
      <c r="O289" s="46"/>
    </row>
    <row r="290" spans="1:15" x14ac:dyDescent="0.2">
      <c r="A290" s="1">
        <v>285</v>
      </c>
      <c r="B290" t="str">
        <f>IF(ISERROR(MATCH(TRIM('Data Table'!D287),Settings!$G$15:$G$20,0)),TRIM('Data Table'!D287),LOOKUP(TRIM('Data Table'!D287),Settings!$G$15:$G$20,Settings!$H$15:$H$20))</f>
        <v>Forsyth</v>
      </c>
      <c r="C290" t="str">
        <f>IF('Data Table'!F287="","SS",IF('Data Table'!F287="SF","SD",TRIM('Data Table'!F287)))</f>
        <v>SB</v>
      </c>
      <c r="D290" s="106">
        <f ca="1">IF(ISBLANK(OFFSET('Data Table'!$A285,2,Settings!$G$5-1)),"",OFFSET('Data Table'!$A285,2,Settings!$G$5-1))</f>
        <v>6.1</v>
      </c>
      <c r="E290" s="106" t="str">
        <f ca="1">IF(ISBLANK(OFFSET('Data Table'!$A285,2,Settings!$G$5)),"",OFFSET('Data Table'!$A285,2,Settings!$G$5))</f>
        <v/>
      </c>
      <c r="F290" s="143" t="str">
        <f ca="1">IF(ISBLANK(OFFSET('Data Table'!$A285,2,Settings!$G$5+1)),"",OFFSET('Data Table'!$A285,2,Settings!$G$5+1))</f>
        <v/>
      </c>
      <c r="G290">
        <f t="shared" ca="1" si="4"/>
        <v>6.1</v>
      </c>
      <c r="H290">
        <f ca="1">IF(G290=-888,"",IF(G290=-999,Settings!$G$4,IF(AND($AA$6="Excluded",G290&gt;=Settings!$G$2),"",G290)))</f>
        <v>6.1</v>
      </c>
      <c r="I290">
        <f ca="1">IF(OR(G290=-999,G290=-888,AND($AA$6="Excluded",G290&gt;=Settings!$G$2)),"",G290)</f>
        <v>6.1</v>
      </c>
      <c r="O290" s="46"/>
    </row>
    <row r="291" spans="1:15" x14ac:dyDescent="0.2">
      <c r="A291" s="1">
        <v>286</v>
      </c>
      <c r="B291" t="str">
        <f>IF(ISERROR(MATCH(TRIM('Data Table'!D288),Settings!$G$15:$G$20,0)),TRIM('Data Table'!D288),LOOKUP(TRIM('Data Table'!D288),Settings!$G$15:$G$20,Settings!$H$15:$H$20))</f>
        <v>Mecklenburg</v>
      </c>
      <c r="C291" t="str">
        <f>IF('Data Table'!F288="","SS",IF('Data Table'!F288="SF","SD",TRIM('Data Table'!F288)))</f>
        <v>SB</v>
      </c>
      <c r="D291" s="106">
        <f ca="1">IF(ISBLANK(OFFSET('Data Table'!$A286,2,Settings!$G$5-1)),"",OFFSET('Data Table'!$A286,2,Settings!$G$5-1))</f>
        <v>102</v>
      </c>
      <c r="E291" s="106" t="str">
        <f ca="1">IF(ISBLANK(OFFSET('Data Table'!$A286,2,Settings!$G$5)),"",OFFSET('Data Table'!$A286,2,Settings!$G$5))</f>
        <v/>
      </c>
      <c r="F291" s="143" t="str">
        <f ca="1">IF(ISBLANK(OFFSET('Data Table'!$A286,2,Settings!$G$5+1)),"",OFFSET('Data Table'!$A286,2,Settings!$G$5+1))</f>
        <v/>
      </c>
      <c r="G291">
        <f t="shared" ca="1" si="4"/>
        <v>102</v>
      </c>
      <c r="H291">
        <f ca="1">IF(G291=-888,"",IF(G291=-999,Settings!$G$4,IF(AND($AA$6="Excluded",G291&gt;=Settings!$G$2),"",G291)))</f>
        <v>102</v>
      </c>
      <c r="I291">
        <f ca="1">IF(OR(G291=-999,G291=-888,AND($AA$6="Excluded",G291&gt;=Settings!$G$2)),"",G291)</f>
        <v>102</v>
      </c>
      <c r="O291" s="46"/>
    </row>
    <row r="292" spans="1:15" x14ac:dyDescent="0.2">
      <c r="A292" s="1">
        <v>287</v>
      </c>
      <c r="B292" t="str">
        <f>IF(ISERROR(MATCH(TRIM('Data Table'!D289),Settings!$G$15:$G$20,0)),TRIM('Data Table'!D289),LOOKUP(TRIM('Data Table'!D289),Settings!$G$15:$G$20,Settings!$H$15:$H$20))</f>
        <v>Beaufort</v>
      </c>
      <c r="C292" t="str">
        <f>IF('Data Table'!F289="","SS",IF('Data Table'!F289="SF","SD",TRIM('Data Table'!F289)))</f>
        <v>SS</v>
      </c>
      <c r="D292" s="106">
        <f ca="1">IF(ISBLANK(OFFSET('Data Table'!$A287,2,Settings!$G$5-1)),"",OFFSET('Data Table'!$A287,2,Settings!$G$5-1))</f>
        <v>9.1</v>
      </c>
      <c r="E292" s="106" t="str">
        <f ca="1">IF(ISBLANK(OFFSET('Data Table'!$A287,2,Settings!$G$5)),"",OFFSET('Data Table'!$A287,2,Settings!$G$5))</f>
        <v/>
      </c>
      <c r="F292" s="143" t="str">
        <f ca="1">IF(ISBLANK(OFFSET('Data Table'!$A287,2,Settings!$G$5+1)),"",OFFSET('Data Table'!$A287,2,Settings!$G$5+1))</f>
        <v/>
      </c>
      <c r="G292">
        <f t="shared" ca="1" si="4"/>
        <v>9.1</v>
      </c>
      <c r="H292">
        <f ca="1">IF(G292=-888,"",IF(G292=-999,Settings!$G$4,IF(AND($AA$6="Excluded",G292&gt;=Settings!$G$2),"",G292)))</f>
        <v>9.1</v>
      </c>
      <c r="I292">
        <f ca="1">IF(OR(G292=-999,G292=-888,AND($AA$6="Excluded",G292&gt;=Settings!$G$2)),"",G292)</f>
        <v>9.1</v>
      </c>
      <c r="O292" s="46"/>
    </row>
    <row r="293" spans="1:15" x14ac:dyDescent="0.2">
      <c r="A293" s="1">
        <v>288</v>
      </c>
      <c r="B293" t="str">
        <f>IF(ISERROR(MATCH(TRIM('Data Table'!D290),Settings!$G$15:$G$20,0)),TRIM('Data Table'!D290),LOOKUP(TRIM('Data Table'!D290),Settings!$G$15:$G$20,Settings!$H$15:$H$20))</f>
        <v>Forsyth</v>
      </c>
      <c r="C293" t="str">
        <f>IF('Data Table'!F290="","SS",IF('Data Table'!F290="SF","SD",TRIM('Data Table'!F290)))</f>
        <v>SS</v>
      </c>
      <c r="D293" s="106" t="str">
        <f ca="1">IF(ISBLANK(OFFSET('Data Table'!$A288,2,Settings!$G$5-1)),"",OFFSET('Data Table'!$A288,2,Settings!$G$5-1))</f>
        <v/>
      </c>
      <c r="E293" s="106">
        <f ca="1">IF(ISBLANK(OFFSET('Data Table'!$A288,2,Settings!$G$5)),"",OFFSET('Data Table'!$A288,2,Settings!$G$5))</f>
        <v>46.08</v>
      </c>
      <c r="F293" s="143" t="str">
        <f ca="1">IF(ISBLANK(OFFSET('Data Table'!$A288,2,Settings!$G$5+1)),"",OFFSET('Data Table'!$A288,2,Settings!$G$5+1))</f>
        <v/>
      </c>
      <c r="G293">
        <f t="shared" ca="1" si="4"/>
        <v>46.08</v>
      </c>
      <c r="H293">
        <f ca="1">IF(G293=-888,"",IF(G293=-999,Settings!$G$4,IF(AND($AA$6="Excluded",G293&gt;=Settings!$G$2),"",G293)))</f>
        <v>46.08</v>
      </c>
      <c r="I293">
        <f ca="1">IF(OR(G293=-999,G293=-888,AND($AA$6="Excluded",G293&gt;=Settings!$G$2)),"",G293)</f>
        <v>46.08</v>
      </c>
      <c r="O293" s="46"/>
    </row>
    <row r="294" spans="1:15" x14ac:dyDescent="0.2">
      <c r="A294" s="1">
        <v>289</v>
      </c>
      <c r="B294" t="str">
        <f>IF(ISERROR(MATCH(TRIM('Data Table'!D291),Settings!$G$15:$G$20,0)),TRIM('Data Table'!D291),LOOKUP(TRIM('Data Table'!D291),Settings!$G$15:$G$20,Settings!$H$15:$H$20))</f>
        <v>Caldwell</v>
      </c>
      <c r="C294" t="str">
        <f>IF('Data Table'!F291="","SS",IF('Data Table'!F291="SF","SD",TRIM('Data Table'!F291)))</f>
        <v>SB</v>
      </c>
      <c r="D294" s="106">
        <f ca="1">IF(ISBLANK(OFFSET('Data Table'!$A289,2,Settings!$G$5-1)),"",OFFSET('Data Table'!$A289,2,Settings!$G$5-1))</f>
        <v>5.8</v>
      </c>
      <c r="E294" s="106" t="str">
        <f ca="1">IF(ISBLANK(OFFSET('Data Table'!$A289,2,Settings!$G$5)),"",OFFSET('Data Table'!$A289,2,Settings!$G$5))</f>
        <v/>
      </c>
      <c r="F294" s="143" t="str">
        <f ca="1">IF(ISBLANK(OFFSET('Data Table'!$A289,2,Settings!$G$5+1)),"",OFFSET('Data Table'!$A289,2,Settings!$G$5+1))</f>
        <v/>
      </c>
      <c r="G294">
        <f t="shared" ca="1" si="4"/>
        <v>5.8</v>
      </c>
      <c r="H294">
        <f ca="1">IF(G294=-888,"",IF(G294=-999,Settings!$G$4,IF(AND($AA$6="Excluded",G294&gt;=Settings!$G$2),"",G294)))</f>
        <v>5.8</v>
      </c>
      <c r="I294">
        <f ca="1">IF(OR(G294=-999,G294=-888,AND($AA$6="Excluded",G294&gt;=Settings!$G$2)),"",G294)</f>
        <v>5.8</v>
      </c>
      <c r="O294" s="46"/>
    </row>
    <row r="295" spans="1:15" x14ac:dyDescent="0.2">
      <c r="A295" s="1">
        <v>290</v>
      </c>
      <c r="B295" t="str">
        <f>IF(ISERROR(MATCH(TRIM('Data Table'!D292),Settings!$G$15:$G$20,0)),TRIM('Data Table'!D292),LOOKUP(TRIM('Data Table'!D292),Settings!$G$15:$G$20,Settings!$H$15:$H$20))</f>
        <v>Caldwell</v>
      </c>
      <c r="C295" t="str">
        <f>IF('Data Table'!F292="","SS",IF('Data Table'!F292="SF","SD",TRIM('Data Table'!F292)))</f>
        <v>SB</v>
      </c>
      <c r="D295" s="106">
        <f ca="1">IF(ISBLANK(OFFSET('Data Table'!$A290,2,Settings!$G$5-1)),"",OFFSET('Data Table'!$A290,2,Settings!$G$5-1))</f>
        <v>5.8</v>
      </c>
      <c r="E295" s="106" t="str">
        <f ca="1">IF(ISBLANK(OFFSET('Data Table'!$A290,2,Settings!$G$5)),"",OFFSET('Data Table'!$A290,2,Settings!$G$5))</f>
        <v/>
      </c>
      <c r="F295" s="143" t="str">
        <f ca="1">IF(ISBLANK(OFFSET('Data Table'!$A290,2,Settings!$G$5+1)),"",OFFSET('Data Table'!$A290,2,Settings!$G$5+1))</f>
        <v/>
      </c>
      <c r="G295">
        <f t="shared" ca="1" si="4"/>
        <v>5.8</v>
      </c>
      <c r="H295">
        <f ca="1">IF(G295=-888,"",IF(G295=-999,Settings!$G$4,IF(AND($AA$6="Excluded",G295&gt;=Settings!$G$2),"",G295)))</f>
        <v>5.8</v>
      </c>
      <c r="I295">
        <f ca="1">IF(OR(G295=-999,G295=-888,AND($AA$6="Excluded",G295&gt;=Settings!$G$2)),"",G295)</f>
        <v>5.8</v>
      </c>
      <c r="O295" s="46"/>
    </row>
    <row r="296" spans="1:15" x14ac:dyDescent="0.2">
      <c r="A296" s="1">
        <v>291</v>
      </c>
      <c r="B296" t="str">
        <f>IF(ISERROR(MATCH(TRIM('Data Table'!D293),Settings!$G$15:$G$20,0)),TRIM('Data Table'!D293),LOOKUP(TRIM('Data Table'!D293),Settings!$G$15:$G$20,Settings!$H$15:$H$20))</f>
        <v>Caldwell</v>
      </c>
      <c r="C296" t="str">
        <f>IF('Data Table'!F293="","SS",IF('Data Table'!F293="SF","SD",TRIM('Data Table'!F293)))</f>
        <v>SB</v>
      </c>
      <c r="D296" s="106">
        <f ca="1">IF(ISBLANK(OFFSET('Data Table'!$A291,2,Settings!$G$5-1)),"",OFFSET('Data Table'!$A291,2,Settings!$G$5-1))</f>
        <v>2.8</v>
      </c>
      <c r="E296" s="106" t="str">
        <f ca="1">IF(ISBLANK(OFFSET('Data Table'!$A291,2,Settings!$G$5)),"",OFFSET('Data Table'!$A291,2,Settings!$G$5))</f>
        <v/>
      </c>
      <c r="F296" s="143" t="str">
        <f ca="1">IF(ISBLANK(OFFSET('Data Table'!$A291,2,Settings!$G$5+1)),"",OFFSET('Data Table'!$A291,2,Settings!$G$5+1))</f>
        <v/>
      </c>
      <c r="G296">
        <f t="shared" ca="1" si="4"/>
        <v>2.8</v>
      </c>
      <c r="H296">
        <f ca="1">IF(G296=-888,"",IF(G296=-999,Settings!$G$4,IF(AND($AA$6="Excluded",G296&gt;=Settings!$G$2),"",G296)))</f>
        <v>2.8</v>
      </c>
      <c r="I296">
        <f ca="1">IF(OR(G296=-999,G296=-888,AND($AA$6="Excluded",G296&gt;=Settings!$G$2)),"",G296)</f>
        <v>2.8</v>
      </c>
      <c r="O296" s="46"/>
    </row>
    <row r="297" spans="1:15" x14ac:dyDescent="0.2">
      <c r="A297" s="1">
        <v>292</v>
      </c>
      <c r="B297" t="str">
        <f>IF(ISERROR(MATCH(TRIM('Data Table'!D294),Settings!$G$15:$G$20,0)),TRIM('Data Table'!D294),LOOKUP(TRIM('Data Table'!D294),Settings!$G$15:$G$20,Settings!$H$15:$H$20))</f>
        <v>Caldwell</v>
      </c>
      <c r="C297" t="str">
        <f>IF('Data Table'!F294="","SS",IF('Data Table'!F294="SF","SD",TRIM('Data Table'!F294)))</f>
        <v>SB</v>
      </c>
      <c r="D297" s="106">
        <f ca="1">IF(ISBLANK(OFFSET('Data Table'!$A292,2,Settings!$G$5-1)),"",OFFSET('Data Table'!$A292,2,Settings!$G$5-1))</f>
        <v>2.8</v>
      </c>
      <c r="E297" s="106" t="str">
        <f ca="1">IF(ISBLANK(OFFSET('Data Table'!$A292,2,Settings!$G$5)),"",OFFSET('Data Table'!$A292,2,Settings!$G$5))</f>
        <v/>
      </c>
      <c r="F297" s="143" t="str">
        <f ca="1">IF(ISBLANK(OFFSET('Data Table'!$A292,2,Settings!$G$5+1)),"",OFFSET('Data Table'!$A292,2,Settings!$G$5+1))</f>
        <v/>
      </c>
      <c r="G297">
        <f t="shared" ca="1" si="4"/>
        <v>2.8</v>
      </c>
      <c r="H297">
        <f ca="1">IF(G297=-888,"",IF(G297=-999,Settings!$G$4,IF(AND($AA$6="Excluded",G297&gt;=Settings!$G$2),"",G297)))</f>
        <v>2.8</v>
      </c>
      <c r="I297">
        <f ca="1">IF(OR(G297=-999,G297=-888,AND($AA$6="Excluded",G297&gt;=Settings!$G$2)),"",G297)</f>
        <v>2.8</v>
      </c>
      <c r="O297" s="46"/>
    </row>
    <row r="298" spans="1:15" x14ac:dyDescent="0.2">
      <c r="A298" s="1">
        <v>293</v>
      </c>
      <c r="B298" t="str">
        <f>IF(ISERROR(MATCH(TRIM('Data Table'!D295),Settings!$G$15:$G$20,0)),TRIM('Data Table'!D295),LOOKUP(TRIM('Data Table'!D295),Settings!$G$15:$G$20,Settings!$H$15:$H$20))</f>
        <v>Caldwell</v>
      </c>
      <c r="C298" t="str">
        <f>IF('Data Table'!F295="","SS",IF('Data Table'!F295="SF","SD",TRIM('Data Table'!F295)))</f>
        <v>SB</v>
      </c>
      <c r="D298" s="106">
        <f ca="1">IF(ISBLANK(OFFSET('Data Table'!$A293,2,Settings!$G$5-1)),"",OFFSET('Data Table'!$A293,2,Settings!$G$5-1))</f>
        <v>5.9</v>
      </c>
      <c r="E298" s="106" t="str">
        <f ca="1">IF(ISBLANK(OFFSET('Data Table'!$A293,2,Settings!$G$5)),"",OFFSET('Data Table'!$A293,2,Settings!$G$5))</f>
        <v/>
      </c>
      <c r="F298" s="143" t="str">
        <f ca="1">IF(ISBLANK(OFFSET('Data Table'!$A293,2,Settings!$G$5+1)),"",OFFSET('Data Table'!$A293,2,Settings!$G$5+1))</f>
        <v/>
      </c>
      <c r="G298">
        <f t="shared" ca="1" si="4"/>
        <v>5.9</v>
      </c>
      <c r="H298">
        <f ca="1">IF(G298=-888,"",IF(G298=-999,Settings!$G$4,IF(AND($AA$6="Excluded",G298&gt;=Settings!$G$2),"",G298)))</f>
        <v>5.9</v>
      </c>
      <c r="I298">
        <f ca="1">IF(OR(G298=-999,G298=-888,AND($AA$6="Excluded",G298&gt;=Settings!$G$2)),"",G298)</f>
        <v>5.9</v>
      </c>
      <c r="O298" s="46"/>
    </row>
    <row r="299" spans="1:15" x14ac:dyDescent="0.2">
      <c r="A299" s="1">
        <v>294</v>
      </c>
      <c r="B299" t="str">
        <f>IF(ISERROR(MATCH(TRIM('Data Table'!D296),Settings!$G$15:$G$20,0)),TRIM('Data Table'!D296),LOOKUP(TRIM('Data Table'!D296),Settings!$G$15:$G$20,Settings!$H$15:$H$20))</f>
        <v>Caldwell</v>
      </c>
      <c r="C299" t="str">
        <f>IF('Data Table'!F296="","SS",IF('Data Table'!F296="SF","SD",TRIM('Data Table'!F296)))</f>
        <v>SB</v>
      </c>
      <c r="D299" s="106">
        <f ca="1">IF(ISBLANK(OFFSET('Data Table'!$A294,2,Settings!$G$5-1)),"",OFFSET('Data Table'!$A294,2,Settings!$G$5-1))</f>
        <v>4.5</v>
      </c>
      <c r="E299" s="106" t="str">
        <f ca="1">IF(ISBLANK(OFFSET('Data Table'!$A294,2,Settings!$G$5)),"",OFFSET('Data Table'!$A294,2,Settings!$G$5))</f>
        <v/>
      </c>
      <c r="F299" s="143" t="str">
        <f ca="1">IF(ISBLANK(OFFSET('Data Table'!$A294,2,Settings!$G$5+1)),"",OFFSET('Data Table'!$A294,2,Settings!$G$5+1))</f>
        <v/>
      </c>
      <c r="G299">
        <f t="shared" ca="1" si="4"/>
        <v>4.5</v>
      </c>
      <c r="H299">
        <f ca="1">IF(G299=-888,"",IF(G299=-999,Settings!$G$4,IF(AND($AA$6="Excluded",G299&gt;=Settings!$G$2),"",G299)))</f>
        <v>4.5</v>
      </c>
      <c r="I299">
        <f ca="1">IF(OR(G299=-999,G299=-888,AND($AA$6="Excluded",G299&gt;=Settings!$G$2)),"",G299)</f>
        <v>4.5</v>
      </c>
      <c r="O299" s="46"/>
    </row>
    <row r="300" spans="1:15" x14ac:dyDescent="0.2">
      <c r="A300" s="1">
        <v>295</v>
      </c>
      <c r="B300" t="str">
        <f>IF(ISERROR(MATCH(TRIM('Data Table'!D297),Settings!$G$15:$G$20,0)),TRIM('Data Table'!D297),LOOKUP(TRIM('Data Table'!D297),Settings!$G$15:$G$20,Settings!$H$15:$H$20))</f>
        <v>Caldwell</v>
      </c>
      <c r="C300" t="str">
        <f>IF('Data Table'!F297="","SS",IF('Data Table'!F297="SF","SD",TRIM('Data Table'!F297)))</f>
        <v>SB</v>
      </c>
      <c r="D300" s="106">
        <f ca="1">IF(ISBLANK(OFFSET('Data Table'!$A295,2,Settings!$G$5-1)),"",OFFSET('Data Table'!$A295,2,Settings!$G$5-1))</f>
        <v>6.1</v>
      </c>
      <c r="E300" s="106" t="str">
        <f ca="1">IF(ISBLANK(OFFSET('Data Table'!$A295,2,Settings!$G$5)),"",OFFSET('Data Table'!$A295,2,Settings!$G$5))</f>
        <v/>
      </c>
      <c r="F300" s="143" t="str">
        <f ca="1">IF(ISBLANK(OFFSET('Data Table'!$A295,2,Settings!$G$5+1)),"",OFFSET('Data Table'!$A295,2,Settings!$G$5+1))</f>
        <v/>
      </c>
      <c r="G300">
        <f t="shared" ca="1" si="4"/>
        <v>6.1</v>
      </c>
      <c r="H300">
        <f ca="1">IF(G300=-888,"",IF(G300=-999,Settings!$G$4,IF(AND($AA$6="Excluded",G300&gt;=Settings!$G$2),"",G300)))</f>
        <v>6.1</v>
      </c>
      <c r="I300">
        <f ca="1">IF(OR(G300=-999,G300=-888,AND($AA$6="Excluded",G300&gt;=Settings!$G$2)),"",G300)</f>
        <v>6.1</v>
      </c>
      <c r="O300" s="46"/>
    </row>
    <row r="301" spans="1:15" x14ac:dyDescent="0.2">
      <c r="A301" s="1">
        <v>296</v>
      </c>
      <c r="B301" t="str">
        <f>IF(ISERROR(MATCH(TRIM('Data Table'!D298),Settings!$G$15:$G$20,0)),TRIM('Data Table'!D298),LOOKUP(TRIM('Data Table'!D298),Settings!$G$15:$G$20,Settings!$H$15:$H$20))</f>
        <v>Caldwell</v>
      </c>
      <c r="C301" t="str">
        <f>IF('Data Table'!F298="","SS",IF('Data Table'!F298="SF","SD",TRIM('Data Table'!F298)))</f>
        <v>SB</v>
      </c>
      <c r="D301" s="106">
        <f ca="1">IF(ISBLANK(OFFSET('Data Table'!$A296,2,Settings!$G$5-1)),"",OFFSET('Data Table'!$A296,2,Settings!$G$5-1))</f>
        <v>5.8</v>
      </c>
      <c r="E301" s="106" t="str">
        <f ca="1">IF(ISBLANK(OFFSET('Data Table'!$A296,2,Settings!$G$5)),"",OFFSET('Data Table'!$A296,2,Settings!$G$5))</f>
        <v/>
      </c>
      <c r="F301" s="143" t="str">
        <f ca="1">IF(ISBLANK(OFFSET('Data Table'!$A296,2,Settings!$G$5+1)),"",OFFSET('Data Table'!$A296,2,Settings!$G$5+1))</f>
        <v/>
      </c>
      <c r="G301">
        <f t="shared" ca="1" si="4"/>
        <v>5.8</v>
      </c>
      <c r="H301">
        <f ca="1">IF(G301=-888,"",IF(G301=-999,Settings!$G$4,IF(AND($AA$6="Excluded",G301&gt;=Settings!$G$2),"",G301)))</f>
        <v>5.8</v>
      </c>
      <c r="I301">
        <f ca="1">IF(OR(G301=-999,G301=-888,AND($AA$6="Excluded",G301&gt;=Settings!$G$2)),"",G301)</f>
        <v>5.8</v>
      </c>
      <c r="O301" s="46"/>
    </row>
    <row r="302" spans="1:15" x14ac:dyDescent="0.2">
      <c r="A302" s="1">
        <v>297</v>
      </c>
      <c r="B302" t="str">
        <f>IF(ISERROR(MATCH(TRIM('Data Table'!D299),Settings!$G$15:$G$20,0)),TRIM('Data Table'!D299),LOOKUP(TRIM('Data Table'!D299),Settings!$G$15:$G$20,Settings!$H$15:$H$20))</f>
        <v>Swain</v>
      </c>
      <c r="C302" t="str">
        <f>IF('Data Table'!F299="","SS",IF('Data Table'!F299="SF","SD",TRIM('Data Table'!F299)))</f>
        <v>SS</v>
      </c>
      <c r="D302" s="106">
        <f ca="1">IF(ISBLANK(OFFSET('Data Table'!$A297,2,Settings!$G$5-1)),"",OFFSET('Data Table'!$A297,2,Settings!$G$5-1))</f>
        <v>16</v>
      </c>
      <c r="E302" s="106" t="str">
        <f ca="1">IF(ISBLANK(OFFSET('Data Table'!$A297,2,Settings!$G$5)),"",OFFSET('Data Table'!$A297,2,Settings!$G$5))</f>
        <v/>
      </c>
      <c r="F302" s="143" t="str">
        <f ca="1">IF(ISBLANK(OFFSET('Data Table'!$A297,2,Settings!$G$5+1)),"",OFFSET('Data Table'!$A297,2,Settings!$G$5+1))</f>
        <v/>
      </c>
      <c r="G302">
        <f t="shared" ca="1" si="4"/>
        <v>16</v>
      </c>
      <c r="H302">
        <f ca="1">IF(G302=-888,"",IF(G302=-999,Settings!$G$4,IF(AND($AA$6="Excluded",G302&gt;=Settings!$G$2),"",G302)))</f>
        <v>16</v>
      </c>
      <c r="I302">
        <f ca="1">IF(OR(G302=-999,G302=-888,AND($AA$6="Excluded",G302&gt;=Settings!$G$2)),"",G302)</f>
        <v>16</v>
      </c>
      <c r="O302" s="46"/>
    </row>
    <row r="303" spans="1:15" x14ac:dyDescent="0.2">
      <c r="A303" s="1">
        <v>298</v>
      </c>
      <c r="B303" t="str">
        <f>IF(ISERROR(MATCH(TRIM('Data Table'!D300),Settings!$G$15:$G$20,0)),TRIM('Data Table'!D300),LOOKUP(TRIM('Data Table'!D300),Settings!$G$15:$G$20,Settings!$H$15:$H$20))</f>
        <v>Mecklenburg</v>
      </c>
      <c r="C303" t="str">
        <f>IF('Data Table'!F300="","SS",IF('Data Table'!F300="SF","SD",TRIM('Data Table'!F300)))</f>
        <v>SS</v>
      </c>
      <c r="D303" s="106">
        <f ca="1">IF(ISBLANK(OFFSET('Data Table'!$A298,2,Settings!$G$5-1)),"",OFFSET('Data Table'!$A298,2,Settings!$G$5-1))</f>
        <v>3.61</v>
      </c>
      <c r="E303" s="106" t="str">
        <f ca="1">IF(ISBLANK(OFFSET('Data Table'!$A298,2,Settings!$G$5)),"",OFFSET('Data Table'!$A298,2,Settings!$G$5))</f>
        <v/>
      </c>
      <c r="F303" s="143" t="str">
        <f ca="1">IF(ISBLANK(OFFSET('Data Table'!$A298,2,Settings!$G$5+1)),"",OFFSET('Data Table'!$A298,2,Settings!$G$5+1))</f>
        <v/>
      </c>
      <c r="G303">
        <f t="shared" ca="1" si="4"/>
        <v>3.61</v>
      </c>
      <c r="H303">
        <f ca="1">IF(G303=-888,"",IF(G303=-999,Settings!$G$4,IF(AND($AA$6="Excluded",G303&gt;=Settings!$G$2),"",G303)))</f>
        <v>3.61</v>
      </c>
      <c r="I303">
        <f ca="1">IF(OR(G303=-999,G303=-888,AND($AA$6="Excluded",G303&gt;=Settings!$G$2)),"",G303)</f>
        <v>3.61</v>
      </c>
      <c r="O303" s="46"/>
    </row>
    <row r="304" spans="1:15" x14ac:dyDescent="0.2">
      <c r="A304" s="1">
        <v>299</v>
      </c>
      <c r="B304" t="str">
        <f>IF(ISERROR(MATCH(TRIM('Data Table'!D301),Settings!$G$15:$G$20,0)),TRIM('Data Table'!D301),LOOKUP(TRIM('Data Table'!D301),Settings!$G$15:$G$20,Settings!$H$15:$H$20))</f>
        <v>Cleveland</v>
      </c>
      <c r="C304" t="str">
        <f>IF('Data Table'!F301="","SS",IF('Data Table'!F301="SF","SD",TRIM('Data Table'!F301)))</f>
        <v>SS</v>
      </c>
      <c r="D304" s="106">
        <f ca="1">IF(ISBLANK(OFFSET('Data Table'!$A299,2,Settings!$G$5-1)),"",OFFSET('Data Table'!$A299,2,Settings!$G$5-1))</f>
        <v>6.75</v>
      </c>
      <c r="E304" s="106" t="str">
        <f ca="1">IF(ISBLANK(OFFSET('Data Table'!$A299,2,Settings!$G$5)),"",OFFSET('Data Table'!$A299,2,Settings!$G$5))</f>
        <v/>
      </c>
      <c r="F304" s="143" t="str">
        <f ca="1">IF(ISBLANK(OFFSET('Data Table'!$A299,2,Settings!$G$5+1)),"",OFFSET('Data Table'!$A299,2,Settings!$G$5+1))</f>
        <v/>
      </c>
      <c r="G304">
        <f t="shared" ca="1" si="4"/>
        <v>6.75</v>
      </c>
      <c r="H304">
        <f ca="1">IF(G304=-888,"",IF(G304=-999,Settings!$G$4,IF(AND($AA$6="Excluded",G304&gt;=Settings!$G$2),"",G304)))</f>
        <v>6.75</v>
      </c>
      <c r="I304">
        <f ca="1">IF(OR(G304=-999,G304=-888,AND($AA$6="Excluded",G304&gt;=Settings!$G$2)),"",G304)</f>
        <v>6.75</v>
      </c>
      <c r="O304" s="46"/>
    </row>
    <row r="305" spans="1:15" x14ac:dyDescent="0.2">
      <c r="A305" s="1">
        <v>300</v>
      </c>
      <c r="B305" t="str">
        <f>IF(ISERROR(MATCH(TRIM('Data Table'!D302),Settings!$G$15:$G$20,0)),TRIM('Data Table'!D302),LOOKUP(TRIM('Data Table'!D302),Settings!$G$15:$G$20,Settings!$H$15:$H$20))</f>
        <v>Cleveland</v>
      </c>
      <c r="C305" t="str">
        <f>IF('Data Table'!F302="","SS",IF('Data Table'!F302="SF","SD",TRIM('Data Table'!F302)))</f>
        <v>SS</v>
      </c>
      <c r="D305" s="106">
        <f ca="1">IF(ISBLANK(OFFSET('Data Table'!$A300,2,Settings!$G$5-1)),"",OFFSET('Data Table'!$A300,2,Settings!$G$5-1))</f>
        <v>11.38</v>
      </c>
      <c r="E305" s="106" t="str">
        <f ca="1">IF(ISBLANK(OFFSET('Data Table'!$A300,2,Settings!$G$5)),"",OFFSET('Data Table'!$A300,2,Settings!$G$5))</f>
        <v/>
      </c>
      <c r="F305" s="143" t="str">
        <f ca="1">IF(ISBLANK(OFFSET('Data Table'!$A300,2,Settings!$G$5+1)),"",OFFSET('Data Table'!$A300,2,Settings!$G$5+1))</f>
        <v/>
      </c>
      <c r="G305">
        <f t="shared" ca="1" si="4"/>
        <v>11.38</v>
      </c>
      <c r="H305">
        <f ca="1">IF(G305=-888,"",IF(G305=-999,Settings!$G$4,IF(AND($AA$6="Excluded",G305&gt;=Settings!$G$2),"",G305)))</f>
        <v>11.38</v>
      </c>
      <c r="I305">
        <f ca="1">IF(OR(G305=-999,G305=-888,AND($AA$6="Excluded",G305&gt;=Settings!$G$2)),"",G305)</f>
        <v>11.38</v>
      </c>
      <c r="O305" s="46"/>
    </row>
    <row r="306" spans="1:15" x14ac:dyDescent="0.2">
      <c r="A306" s="1">
        <v>301</v>
      </c>
      <c r="B306" t="str">
        <f>IF(ISERROR(MATCH(TRIM('Data Table'!D303),Settings!$G$15:$G$20,0)),TRIM('Data Table'!D303),LOOKUP(TRIM('Data Table'!D303),Settings!$G$15:$G$20,Settings!$H$15:$H$20))</f>
        <v>Cleveland</v>
      </c>
      <c r="C306" t="str">
        <f>IF('Data Table'!F303="","SS",IF('Data Table'!F303="SF","SD",TRIM('Data Table'!F303)))</f>
        <v>SS</v>
      </c>
      <c r="D306" s="106">
        <f ca="1">IF(ISBLANK(OFFSET('Data Table'!$A301,2,Settings!$G$5-1)),"",OFFSET('Data Table'!$A301,2,Settings!$G$5-1))</f>
        <v>10</v>
      </c>
      <c r="E306" s="106" t="str">
        <f ca="1">IF(ISBLANK(OFFSET('Data Table'!$A301,2,Settings!$G$5)),"",OFFSET('Data Table'!$A301,2,Settings!$G$5))</f>
        <v/>
      </c>
      <c r="F306" s="143" t="str">
        <f ca="1">IF(ISBLANK(OFFSET('Data Table'!$A301,2,Settings!$G$5+1)),"",OFFSET('Data Table'!$A301,2,Settings!$G$5+1))</f>
        <v/>
      </c>
      <c r="G306">
        <f t="shared" ca="1" si="4"/>
        <v>10</v>
      </c>
      <c r="H306">
        <f ca="1">IF(G306=-888,"",IF(G306=-999,Settings!$G$4,IF(AND($AA$6="Excluded",G306&gt;=Settings!$G$2),"",G306)))</f>
        <v>10</v>
      </c>
      <c r="I306">
        <f ca="1">IF(OR(G306=-999,G306=-888,AND($AA$6="Excluded",G306&gt;=Settings!$G$2)),"",G306)</f>
        <v>10</v>
      </c>
      <c r="O306" s="46"/>
    </row>
    <row r="307" spans="1:15" x14ac:dyDescent="0.2">
      <c r="A307" s="1">
        <v>302</v>
      </c>
      <c r="B307" t="str">
        <f>IF(ISERROR(MATCH(TRIM('Data Table'!D304),Settings!$G$15:$G$20,0)),TRIM('Data Table'!D304),LOOKUP(TRIM('Data Table'!D304),Settings!$G$15:$G$20,Settings!$H$15:$H$20))</f>
        <v>Cleveland</v>
      </c>
      <c r="C307" t="str">
        <f>IF('Data Table'!F304="","SS",IF('Data Table'!F304="SF","SD",TRIM('Data Table'!F304)))</f>
        <v>SS</v>
      </c>
      <c r="D307" s="106">
        <f ca="1">IF(ISBLANK(OFFSET('Data Table'!$A302,2,Settings!$G$5-1)),"",OFFSET('Data Table'!$A302,2,Settings!$G$5-1))</f>
        <v>4.7</v>
      </c>
      <c r="E307" s="106" t="str">
        <f ca="1">IF(ISBLANK(OFFSET('Data Table'!$A302,2,Settings!$G$5)),"",OFFSET('Data Table'!$A302,2,Settings!$G$5))</f>
        <v/>
      </c>
      <c r="F307" s="143" t="str">
        <f ca="1">IF(ISBLANK(OFFSET('Data Table'!$A302,2,Settings!$G$5+1)),"",OFFSET('Data Table'!$A302,2,Settings!$G$5+1))</f>
        <v/>
      </c>
      <c r="G307">
        <f t="shared" ca="1" si="4"/>
        <v>4.7</v>
      </c>
      <c r="H307">
        <f ca="1">IF(G307=-888,"",IF(G307=-999,Settings!$G$4,IF(AND($AA$6="Excluded",G307&gt;=Settings!$G$2),"",G307)))</f>
        <v>4.7</v>
      </c>
      <c r="I307">
        <f ca="1">IF(OR(G307=-999,G307=-888,AND($AA$6="Excluded",G307&gt;=Settings!$G$2)),"",G307)</f>
        <v>4.7</v>
      </c>
      <c r="O307" s="46"/>
    </row>
    <row r="308" spans="1:15" x14ac:dyDescent="0.2">
      <c r="A308" s="1">
        <v>303</v>
      </c>
      <c r="B308" t="str">
        <f>IF(ISERROR(MATCH(TRIM('Data Table'!D305),Settings!$G$15:$G$20,0)),TRIM('Data Table'!D305),LOOKUP(TRIM('Data Table'!D305),Settings!$G$15:$G$20,Settings!$H$15:$H$20))</f>
        <v>Cleveland</v>
      </c>
      <c r="C308" t="str">
        <f>IF('Data Table'!F305="","SS",IF('Data Table'!F305="SF","SD",TRIM('Data Table'!F305)))</f>
        <v>SS</v>
      </c>
      <c r="D308" s="106">
        <f ca="1">IF(ISBLANK(OFFSET('Data Table'!$A303,2,Settings!$G$5-1)),"",OFFSET('Data Table'!$A303,2,Settings!$G$5-1))</f>
        <v>4.75</v>
      </c>
      <c r="E308" s="106" t="str">
        <f ca="1">IF(ISBLANK(OFFSET('Data Table'!$A303,2,Settings!$G$5)),"",OFFSET('Data Table'!$A303,2,Settings!$G$5))</f>
        <v/>
      </c>
      <c r="F308" s="143" t="str">
        <f ca="1">IF(ISBLANK(OFFSET('Data Table'!$A303,2,Settings!$G$5+1)),"",OFFSET('Data Table'!$A303,2,Settings!$G$5+1))</f>
        <v/>
      </c>
      <c r="G308">
        <f t="shared" ca="1" si="4"/>
        <v>4.75</v>
      </c>
      <c r="H308">
        <f ca="1">IF(G308=-888,"",IF(G308=-999,Settings!$G$4,IF(AND($AA$6="Excluded",G308&gt;=Settings!$G$2),"",G308)))</f>
        <v>4.75</v>
      </c>
      <c r="I308">
        <f ca="1">IF(OR(G308=-999,G308=-888,AND($AA$6="Excluded",G308&gt;=Settings!$G$2)),"",G308)</f>
        <v>4.75</v>
      </c>
      <c r="O308" s="46"/>
    </row>
    <row r="309" spans="1:15" x14ac:dyDescent="0.2">
      <c r="A309" s="1">
        <v>304</v>
      </c>
      <c r="B309" t="str">
        <f>IF(ISERROR(MATCH(TRIM('Data Table'!D306),Settings!$G$15:$G$20,0)),TRIM('Data Table'!D306),LOOKUP(TRIM('Data Table'!D306),Settings!$G$15:$G$20,Settings!$H$15:$H$20))</f>
        <v>Union</v>
      </c>
      <c r="C309" t="str">
        <f>IF('Data Table'!F306="","SS",IF('Data Table'!F306="SF","SD",TRIM('Data Table'!F306)))</f>
        <v>SS</v>
      </c>
      <c r="D309" s="106">
        <f ca="1">IF(ISBLANK(OFFSET('Data Table'!$A304,2,Settings!$G$5-1)),"",OFFSET('Data Table'!$A304,2,Settings!$G$5-1))</f>
        <v>27</v>
      </c>
      <c r="E309" s="106" t="str">
        <f ca="1">IF(ISBLANK(OFFSET('Data Table'!$A304,2,Settings!$G$5)),"",OFFSET('Data Table'!$A304,2,Settings!$G$5))</f>
        <v/>
      </c>
      <c r="F309" s="143" t="str">
        <f ca="1">IF(ISBLANK(OFFSET('Data Table'!$A304,2,Settings!$G$5+1)),"",OFFSET('Data Table'!$A304,2,Settings!$G$5+1))</f>
        <v/>
      </c>
      <c r="G309">
        <f t="shared" ca="1" si="4"/>
        <v>27</v>
      </c>
      <c r="H309">
        <f ca="1">IF(G309=-888,"",IF(G309=-999,Settings!$G$4,IF(AND($AA$6="Excluded",G309&gt;=Settings!$G$2),"",G309)))</f>
        <v>27</v>
      </c>
      <c r="I309">
        <f ca="1">IF(OR(G309=-999,G309=-888,AND($AA$6="Excluded",G309&gt;=Settings!$G$2)),"",G309)</f>
        <v>27</v>
      </c>
      <c r="O309" s="46"/>
    </row>
    <row r="310" spans="1:15" x14ac:dyDescent="0.2">
      <c r="A310" s="1">
        <v>305</v>
      </c>
      <c r="B310" t="str">
        <f>IF(ISERROR(MATCH(TRIM('Data Table'!D307),Settings!$G$15:$G$20,0)),TRIM('Data Table'!D307),LOOKUP(TRIM('Data Table'!D307),Settings!$G$15:$G$20,Settings!$H$15:$H$20))</f>
        <v>Union</v>
      </c>
      <c r="C310" t="str">
        <f>IF('Data Table'!F307="","SS",IF('Data Table'!F307="SF","SD",TRIM('Data Table'!F307)))</f>
        <v>SB</v>
      </c>
      <c r="D310" s="106">
        <f ca="1">IF(ISBLANK(OFFSET('Data Table'!$A305,2,Settings!$G$5-1)),"",OFFSET('Data Table'!$A305,2,Settings!$G$5-1))</f>
        <v>29</v>
      </c>
      <c r="E310" s="106" t="str">
        <f ca="1">IF(ISBLANK(OFFSET('Data Table'!$A305,2,Settings!$G$5)),"",OFFSET('Data Table'!$A305,2,Settings!$G$5))</f>
        <v/>
      </c>
      <c r="F310" s="143" t="str">
        <f ca="1">IF(ISBLANK(OFFSET('Data Table'!$A305,2,Settings!$G$5+1)),"",OFFSET('Data Table'!$A305,2,Settings!$G$5+1))</f>
        <v/>
      </c>
      <c r="G310">
        <f t="shared" ca="1" si="4"/>
        <v>29</v>
      </c>
      <c r="H310">
        <f ca="1">IF(G310=-888,"",IF(G310=-999,Settings!$G$4,IF(AND($AA$6="Excluded",G310&gt;=Settings!$G$2),"",G310)))</f>
        <v>29</v>
      </c>
      <c r="I310">
        <f ca="1">IF(OR(G310=-999,G310=-888,AND($AA$6="Excluded",G310&gt;=Settings!$G$2)),"",G310)</f>
        <v>29</v>
      </c>
      <c r="O310" s="46"/>
    </row>
    <row r="311" spans="1:15" x14ac:dyDescent="0.2">
      <c r="A311" s="1">
        <v>306</v>
      </c>
      <c r="B311" t="str">
        <f>IF(ISERROR(MATCH(TRIM('Data Table'!D308),Settings!$G$15:$G$20,0)),TRIM('Data Table'!D308),LOOKUP(TRIM('Data Table'!D308),Settings!$G$15:$G$20,Settings!$H$15:$H$20))</f>
        <v>Union</v>
      </c>
      <c r="C311" t="str">
        <f>IF('Data Table'!F308="","SS",IF('Data Table'!F308="SF","SD",TRIM('Data Table'!F308)))</f>
        <v>SD</v>
      </c>
      <c r="D311" s="106">
        <f ca="1">IF(ISBLANK(OFFSET('Data Table'!$A306,2,Settings!$G$5-1)),"",OFFSET('Data Table'!$A306,2,Settings!$G$5-1))</f>
        <v>34</v>
      </c>
      <c r="E311" s="106" t="str">
        <f ca="1">IF(ISBLANK(OFFSET('Data Table'!$A306,2,Settings!$G$5)),"",OFFSET('Data Table'!$A306,2,Settings!$G$5))</f>
        <v/>
      </c>
      <c r="F311" s="143" t="str">
        <f ca="1">IF(ISBLANK(OFFSET('Data Table'!$A306,2,Settings!$G$5+1)),"",OFFSET('Data Table'!$A306,2,Settings!$G$5+1))</f>
        <v/>
      </c>
      <c r="G311">
        <f t="shared" ca="1" si="4"/>
        <v>34</v>
      </c>
      <c r="H311">
        <f ca="1">IF(G311=-888,"",IF(G311=-999,Settings!$G$4,IF(AND($AA$6="Excluded",G311&gt;=Settings!$G$2),"",G311)))</f>
        <v>34</v>
      </c>
      <c r="I311">
        <f ca="1">IF(OR(G311=-999,G311=-888,AND($AA$6="Excluded",G311&gt;=Settings!$G$2)),"",G311)</f>
        <v>34</v>
      </c>
      <c r="O311" s="46"/>
    </row>
    <row r="312" spans="1:15" x14ac:dyDescent="0.2">
      <c r="A312" s="1">
        <v>307</v>
      </c>
      <c r="B312" t="str">
        <f>IF(ISERROR(MATCH(TRIM('Data Table'!D309),Settings!$G$15:$G$20,0)),TRIM('Data Table'!D309),LOOKUP(TRIM('Data Table'!D309),Settings!$G$15:$G$20,Settings!$H$15:$H$20))</f>
        <v>Surry</v>
      </c>
      <c r="C312" t="str">
        <f>IF('Data Table'!F309="","SS",IF('Data Table'!F309="SF","SD",TRIM('Data Table'!F309)))</f>
        <v>SS</v>
      </c>
      <c r="D312" s="106" t="str">
        <f ca="1">IF(ISBLANK(OFFSET('Data Table'!$A307,2,Settings!$G$5-1)),"",OFFSET('Data Table'!$A307,2,Settings!$G$5-1))</f>
        <v/>
      </c>
      <c r="E312" s="106">
        <f ca="1">IF(ISBLANK(OFFSET('Data Table'!$A307,2,Settings!$G$5)),"",OFFSET('Data Table'!$A307,2,Settings!$G$5))</f>
        <v>16.559999999999999</v>
      </c>
      <c r="F312" s="143" t="str">
        <f ca="1">IF(ISBLANK(OFFSET('Data Table'!$A307,2,Settings!$G$5+1)),"",OFFSET('Data Table'!$A307,2,Settings!$G$5+1))</f>
        <v/>
      </c>
      <c r="G312">
        <f t="shared" ca="1" si="4"/>
        <v>16.559999999999999</v>
      </c>
      <c r="H312">
        <f ca="1">IF(G312=-888,"",IF(G312=-999,Settings!$G$4,IF(AND($AA$6="Excluded",G312&gt;=Settings!$G$2),"",G312)))</f>
        <v>16.559999999999999</v>
      </c>
      <c r="I312">
        <f ca="1">IF(OR(G312=-999,G312=-888,AND($AA$6="Excluded",G312&gt;=Settings!$G$2)),"",G312)</f>
        <v>16.559999999999999</v>
      </c>
      <c r="O312" s="46"/>
    </row>
    <row r="313" spans="1:15" x14ac:dyDescent="0.2">
      <c r="A313" s="1">
        <v>308</v>
      </c>
      <c r="B313" t="str">
        <f>IF(ISERROR(MATCH(TRIM('Data Table'!D310),Settings!$G$15:$G$20,0)),TRIM('Data Table'!D310),LOOKUP(TRIM('Data Table'!D310),Settings!$G$15:$G$20,Settings!$H$15:$H$20))</f>
        <v>Surry</v>
      </c>
      <c r="C313" t="str">
        <f>IF('Data Table'!F310="","SS",IF('Data Table'!F310="SF","SD",TRIM('Data Table'!F310)))</f>
        <v>SB</v>
      </c>
      <c r="D313" s="106" t="str">
        <f ca="1">IF(ISBLANK(OFFSET('Data Table'!$A308,2,Settings!$G$5-1)),"",OFFSET('Data Table'!$A308,2,Settings!$G$5-1))</f>
        <v/>
      </c>
      <c r="E313" s="106">
        <f ca="1">IF(ISBLANK(OFFSET('Data Table'!$A308,2,Settings!$G$5)),"",OFFSET('Data Table'!$A308,2,Settings!$G$5))</f>
        <v>14.975999999999999</v>
      </c>
      <c r="F313" s="143" t="str">
        <f ca="1">IF(ISBLANK(OFFSET('Data Table'!$A308,2,Settings!$G$5+1)),"",OFFSET('Data Table'!$A308,2,Settings!$G$5+1))</f>
        <v/>
      </c>
      <c r="G313">
        <f t="shared" ca="1" si="4"/>
        <v>14.975999999999999</v>
      </c>
      <c r="H313">
        <f ca="1">IF(G313=-888,"",IF(G313=-999,Settings!$G$4,IF(AND($AA$6="Excluded",G313&gt;=Settings!$G$2),"",G313)))</f>
        <v>14.975999999999999</v>
      </c>
      <c r="I313">
        <f ca="1">IF(OR(G313=-999,G313=-888,AND($AA$6="Excluded",G313&gt;=Settings!$G$2)),"",G313)</f>
        <v>14.975999999999999</v>
      </c>
      <c r="O313" s="46"/>
    </row>
    <row r="314" spans="1:15" x14ac:dyDescent="0.2">
      <c r="A314" s="1">
        <v>309</v>
      </c>
      <c r="B314" t="str">
        <f>IF(ISERROR(MATCH(TRIM('Data Table'!D311),Settings!$G$15:$G$20,0)),TRIM('Data Table'!D311),LOOKUP(TRIM('Data Table'!D311),Settings!$G$15:$G$20,Settings!$H$15:$H$20))</f>
        <v>Sampson</v>
      </c>
      <c r="C314" t="str">
        <f>IF('Data Table'!F311="","SS",IF('Data Table'!F311="SF","SD",TRIM('Data Table'!F311)))</f>
        <v>SD</v>
      </c>
      <c r="D314" s="106">
        <f ca="1">IF(ISBLANK(OFFSET('Data Table'!$A309,2,Settings!$G$5-1)),"",OFFSET('Data Table'!$A309,2,Settings!$G$5-1))</f>
        <v>4</v>
      </c>
      <c r="E314" s="106" t="str">
        <f ca="1">IF(ISBLANK(OFFSET('Data Table'!$A309,2,Settings!$G$5)),"",OFFSET('Data Table'!$A309,2,Settings!$G$5))</f>
        <v/>
      </c>
      <c r="F314" s="143" t="str">
        <f ca="1">IF(ISBLANK(OFFSET('Data Table'!$A309,2,Settings!$G$5+1)),"",OFFSET('Data Table'!$A309,2,Settings!$G$5+1))</f>
        <v/>
      </c>
      <c r="G314">
        <f t="shared" ca="1" si="4"/>
        <v>4</v>
      </c>
      <c r="H314">
        <f ca="1">IF(G314=-888,"",IF(G314=-999,Settings!$G$4,IF(AND($AA$6="Excluded",G314&gt;=Settings!$G$2),"",G314)))</f>
        <v>4</v>
      </c>
      <c r="I314">
        <f ca="1">IF(OR(G314=-999,G314=-888,AND($AA$6="Excluded",G314&gt;=Settings!$G$2)),"",G314)</f>
        <v>4</v>
      </c>
      <c r="O314" s="46"/>
    </row>
    <row r="315" spans="1:15" x14ac:dyDescent="0.2">
      <c r="A315" s="1">
        <v>310</v>
      </c>
      <c r="B315" t="str">
        <f>IF(ISERROR(MATCH(TRIM('Data Table'!D312),Settings!$G$15:$G$20,0)),TRIM('Data Table'!D312),LOOKUP(TRIM('Data Table'!D312),Settings!$G$15:$G$20,Settings!$H$15:$H$20))</f>
        <v>Sampson</v>
      </c>
      <c r="C315" t="str">
        <f>IF('Data Table'!F312="","SS",IF('Data Table'!F312="SF","SD",TRIM('Data Table'!F312)))</f>
        <v>SD</v>
      </c>
      <c r="D315" s="106" t="str">
        <f ca="1">IF(ISBLANK(OFFSET('Data Table'!$A310,2,Settings!$G$5-1)),"",OFFSET('Data Table'!$A310,2,Settings!$G$5-1))</f>
        <v/>
      </c>
      <c r="E315" s="106" t="str">
        <f ca="1">IF(ISBLANK(OFFSET('Data Table'!$A310,2,Settings!$G$5)),"",OFFSET('Data Table'!$A310,2,Settings!$G$5))</f>
        <v/>
      </c>
      <c r="F315" s="143">
        <f ca="1">IF(ISBLANK(OFFSET('Data Table'!$A310,2,Settings!$G$5+1)),"",OFFSET('Data Table'!$A310,2,Settings!$G$5+1))</f>
        <v>4</v>
      </c>
      <c r="G315">
        <f t="shared" ca="1" si="4"/>
        <v>4</v>
      </c>
      <c r="H315">
        <f ca="1">IF(G315=-888,"",IF(G315=-999,Settings!$G$4,IF(AND($AA$6="Excluded",G315&gt;=Settings!$G$2),"",G315)))</f>
        <v>4</v>
      </c>
      <c r="I315">
        <f ca="1">IF(OR(G315=-999,G315=-888,AND($AA$6="Excluded",G315&gt;=Settings!$G$2)),"",G315)</f>
        <v>4</v>
      </c>
      <c r="O315" s="46"/>
    </row>
    <row r="316" spans="1:15" x14ac:dyDescent="0.2">
      <c r="A316" s="1">
        <v>311</v>
      </c>
      <c r="B316" t="str">
        <f>IF(ISERROR(MATCH(TRIM('Data Table'!D313),Settings!$G$15:$G$20,0)),TRIM('Data Table'!D313),LOOKUP(TRIM('Data Table'!D313),Settings!$G$15:$G$20,Settings!$H$15:$H$20))</f>
        <v>Sampson</v>
      </c>
      <c r="C316" t="str">
        <f>IF('Data Table'!F313="","SS",IF('Data Table'!F313="SF","SD",TRIM('Data Table'!F313)))</f>
        <v>SB</v>
      </c>
      <c r="D316" s="106">
        <f ca="1">IF(ISBLANK(OFFSET('Data Table'!$A311,2,Settings!$G$5-1)),"",OFFSET('Data Table'!$A311,2,Settings!$G$5-1))</f>
        <v>6</v>
      </c>
      <c r="E316" s="106" t="str">
        <f ca="1">IF(ISBLANK(OFFSET('Data Table'!$A311,2,Settings!$G$5)),"",OFFSET('Data Table'!$A311,2,Settings!$G$5))</f>
        <v/>
      </c>
      <c r="F316" s="143" t="str">
        <f ca="1">IF(ISBLANK(OFFSET('Data Table'!$A311,2,Settings!$G$5+1)),"",OFFSET('Data Table'!$A311,2,Settings!$G$5+1))</f>
        <v/>
      </c>
      <c r="G316">
        <f t="shared" ca="1" si="4"/>
        <v>6</v>
      </c>
      <c r="H316">
        <f ca="1">IF(G316=-888,"",IF(G316=-999,Settings!$G$4,IF(AND($AA$6="Excluded",G316&gt;=Settings!$G$2),"",G316)))</f>
        <v>6</v>
      </c>
      <c r="I316">
        <f ca="1">IF(OR(G316=-999,G316=-888,AND($AA$6="Excluded",G316&gt;=Settings!$G$2)),"",G316)</f>
        <v>6</v>
      </c>
      <c r="O316" s="46"/>
    </row>
    <row r="317" spans="1:15" x14ac:dyDescent="0.2">
      <c r="A317" s="1">
        <v>312</v>
      </c>
      <c r="B317" t="str">
        <f>IF(ISERROR(MATCH(TRIM('Data Table'!D314),Settings!$G$15:$G$20,0)),TRIM('Data Table'!D314),LOOKUP(TRIM('Data Table'!D314),Settings!$G$15:$G$20,Settings!$H$15:$H$20))</f>
        <v>Rowan</v>
      </c>
      <c r="C317" t="str">
        <f>IF('Data Table'!F314="","SS",IF('Data Table'!F314="SF","SD",TRIM('Data Table'!F314)))</f>
        <v>SB</v>
      </c>
      <c r="D317" s="106">
        <f ca="1">IF(ISBLANK(OFFSET('Data Table'!$A312,2,Settings!$G$5-1)),"",OFFSET('Data Table'!$A312,2,Settings!$G$5-1))</f>
        <v>6.5</v>
      </c>
      <c r="E317" s="106" t="str">
        <f ca="1">IF(ISBLANK(OFFSET('Data Table'!$A312,2,Settings!$G$5)),"",OFFSET('Data Table'!$A312,2,Settings!$G$5))</f>
        <v/>
      </c>
      <c r="F317" s="143" t="str">
        <f ca="1">IF(ISBLANK(OFFSET('Data Table'!$A312,2,Settings!$G$5+1)),"",OFFSET('Data Table'!$A312,2,Settings!$G$5+1))</f>
        <v/>
      </c>
      <c r="G317">
        <f t="shared" ca="1" si="4"/>
        <v>6.5</v>
      </c>
      <c r="H317">
        <f ca="1">IF(G317=-888,"",IF(G317=-999,Settings!$G$4,IF(AND($AA$6="Excluded",G317&gt;=Settings!$G$2),"",G317)))</f>
        <v>6.5</v>
      </c>
      <c r="I317">
        <f ca="1">IF(OR(G317=-999,G317=-888,AND($AA$6="Excluded",G317&gt;=Settings!$G$2)),"",G317)</f>
        <v>6.5</v>
      </c>
      <c r="O317" s="46"/>
    </row>
    <row r="318" spans="1:15" x14ac:dyDescent="0.2">
      <c r="A318" s="1">
        <v>313</v>
      </c>
      <c r="B318" t="str">
        <f>IF(ISERROR(MATCH(TRIM('Data Table'!D315),Settings!$G$15:$G$20,0)),TRIM('Data Table'!D315),LOOKUP(TRIM('Data Table'!D315),Settings!$G$15:$G$20,Settings!$H$15:$H$20))</f>
        <v>Rowan</v>
      </c>
      <c r="C318" t="str">
        <f>IF('Data Table'!F315="","SS",IF('Data Table'!F315="SF","SD",TRIM('Data Table'!F315)))</f>
        <v>SD</v>
      </c>
      <c r="D318" s="106">
        <f ca="1">IF(ISBLANK(OFFSET('Data Table'!$A313,2,Settings!$G$5-1)),"",OFFSET('Data Table'!$A313,2,Settings!$G$5-1))</f>
        <v>5.7</v>
      </c>
      <c r="E318" s="106" t="str">
        <f ca="1">IF(ISBLANK(OFFSET('Data Table'!$A313,2,Settings!$G$5)),"",OFFSET('Data Table'!$A313,2,Settings!$G$5))</f>
        <v/>
      </c>
      <c r="F318" s="143" t="str">
        <f ca="1">IF(ISBLANK(OFFSET('Data Table'!$A313,2,Settings!$G$5+1)),"",OFFSET('Data Table'!$A313,2,Settings!$G$5+1))</f>
        <v/>
      </c>
      <c r="G318">
        <f t="shared" ca="1" si="4"/>
        <v>5.7</v>
      </c>
      <c r="H318">
        <f ca="1">IF(G318=-888,"",IF(G318=-999,Settings!$G$4,IF(AND($AA$6="Excluded",G318&gt;=Settings!$G$2),"",G318)))</f>
        <v>5.7</v>
      </c>
      <c r="I318">
        <f ca="1">IF(OR(G318=-999,G318=-888,AND($AA$6="Excluded",G318&gt;=Settings!$G$2)),"",G318)</f>
        <v>5.7</v>
      </c>
      <c r="O318" s="46"/>
    </row>
    <row r="319" spans="1:15" x14ac:dyDescent="0.2">
      <c r="A319" s="1">
        <v>314</v>
      </c>
      <c r="B319" t="str">
        <f>IF(ISERROR(MATCH(TRIM('Data Table'!D316),Settings!$G$15:$G$20,0)),TRIM('Data Table'!D316),LOOKUP(TRIM('Data Table'!D316),Settings!$G$15:$G$20,Settings!$H$15:$H$20))</f>
        <v>Gaston</v>
      </c>
      <c r="C319" t="str">
        <f>IF('Data Table'!F316="","SS",IF('Data Table'!F316="SF","SD",TRIM('Data Table'!F316)))</f>
        <v>SS</v>
      </c>
      <c r="D319" s="106">
        <f ca="1">IF(ISBLANK(OFFSET('Data Table'!$A314,2,Settings!$G$5-1)),"",OFFSET('Data Table'!$A314,2,Settings!$G$5-1))</f>
        <v>20</v>
      </c>
      <c r="E319" s="106" t="str">
        <f ca="1">IF(ISBLANK(OFFSET('Data Table'!$A314,2,Settings!$G$5)),"",OFFSET('Data Table'!$A314,2,Settings!$G$5))</f>
        <v/>
      </c>
      <c r="F319" s="143" t="str">
        <f ca="1">IF(ISBLANK(OFFSET('Data Table'!$A314,2,Settings!$G$5+1)),"",OFFSET('Data Table'!$A314,2,Settings!$G$5+1))</f>
        <v/>
      </c>
      <c r="G319">
        <f t="shared" ca="1" si="4"/>
        <v>20</v>
      </c>
      <c r="H319">
        <f ca="1">IF(G319=-888,"",IF(G319=-999,Settings!$G$4,IF(AND($AA$6="Excluded",G319&gt;=Settings!$G$2),"",G319)))</f>
        <v>20</v>
      </c>
      <c r="I319">
        <f ca="1">IF(OR(G319=-999,G319=-888,AND($AA$6="Excluded",G319&gt;=Settings!$G$2)),"",G319)</f>
        <v>20</v>
      </c>
      <c r="O319" s="46"/>
    </row>
    <row r="320" spans="1:15" x14ac:dyDescent="0.2">
      <c r="A320" s="1">
        <v>315</v>
      </c>
      <c r="B320" t="str">
        <f>IF(ISERROR(MATCH(TRIM('Data Table'!D317),Settings!$G$15:$G$20,0)),TRIM('Data Table'!D317),LOOKUP(TRIM('Data Table'!D317),Settings!$G$15:$G$20,Settings!$H$15:$H$20))</f>
        <v>Gaston</v>
      </c>
      <c r="C320" t="str">
        <f>IF('Data Table'!F317="","SS",IF('Data Table'!F317="SF","SD",TRIM('Data Table'!F317)))</f>
        <v>SD</v>
      </c>
      <c r="D320" s="106">
        <f ca="1">IF(ISBLANK(OFFSET('Data Table'!$A315,2,Settings!$G$5-1)),"",OFFSET('Data Table'!$A315,2,Settings!$G$5-1))</f>
        <v>21</v>
      </c>
      <c r="E320" s="106" t="str">
        <f ca="1">IF(ISBLANK(OFFSET('Data Table'!$A315,2,Settings!$G$5)),"",OFFSET('Data Table'!$A315,2,Settings!$G$5))</f>
        <v/>
      </c>
      <c r="F320" s="143" t="str">
        <f ca="1">IF(ISBLANK(OFFSET('Data Table'!$A315,2,Settings!$G$5+1)),"",OFFSET('Data Table'!$A315,2,Settings!$G$5+1))</f>
        <v/>
      </c>
      <c r="G320">
        <f t="shared" ca="1" si="4"/>
        <v>21</v>
      </c>
      <c r="H320">
        <f ca="1">IF(G320=-888,"",IF(G320=-999,Settings!$G$4,IF(AND($AA$6="Excluded",G320&gt;=Settings!$G$2),"",G320)))</f>
        <v>21</v>
      </c>
      <c r="I320">
        <f ca="1">IF(OR(G320=-999,G320=-888,AND($AA$6="Excluded",G320&gt;=Settings!$G$2)),"",G320)</f>
        <v>21</v>
      </c>
      <c r="O320" s="46"/>
    </row>
    <row r="321" spans="1:15" x14ac:dyDescent="0.2">
      <c r="A321" s="1">
        <v>316</v>
      </c>
      <c r="B321" t="str">
        <f>IF(ISERROR(MATCH(TRIM('Data Table'!D318),Settings!$G$15:$G$20,0)),TRIM('Data Table'!D318),LOOKUP(TRIM('Data Table'!D318),Settings!$G$15:$G$20,Settings!$H$15:$H$20))</f>
        <v>Edgecombe</v>
      </c>
      <c r="C321" t="str">
        <f>IF('Data Table'!F318="","SS",IF('Data Table'!F318="SF","SD",TRIM('Data Table'!F318)))</f>
        <v>SS</v>
      </c>
      <c r="D321" s="106" t="str">
        <f ca="1">IF(ISBLANK(OFFSET('Data Table'!$A316,2,Settings!$G$5-1)),"",OFFSET('Data Table'!$A316,2,Settings!$G$5-1))</f>
        <v/>
      </c>
      <c r="E321" s="106" t="str">
        <f ca="1">IF(ISBLANK(OFFSET('Data Table'!$A316,2,Settings!$G$5)),"",OFFSET('Data Table'!$A316,2,Settings!$G$5))</f>
        <v/>
      </c>
      <c r="F321" s="143">
        <f ca="1">IF(ISBLANK(OFFSET('Data Table'!$A316,2,Settings!$G$5+1)),"",OFFSET('Data Table'!$A316,2,Settings!$G$5+1))</f>
        <v>19</v>
      </c>
      <c r="G321">
        <f t="shared" ca="1" si="4"/>
        <v>19</v>
      </c>
      <c r="H321">
        <f ca="1">IF(G321=-888,"",IF(G321=-999,Settings!$G$4,IF(AND($AA$6="Excluded",G321&gt;=Settings!$G$2),"",G321)))</f>
        <v>19</v>
      </c>
      <c r="I321">
        <f ca="1">IF(OR(G321=-999,G321=-888,AND($AA$6="Excluded",G321&gt;=Settings!$G$2)),"",G321)</f>
        <v>19</v>
      </c>
      <c r="O321" s="46"/>
    </row>
    <row r="322" spans="1:15" x14ac:dyDescent="0.2">
      <c r="A322" s="1">
        <v>317</v>
      </c>
      <c r="B322" t="str">
        <f>IF(ISERROR(MATCH(TRIM('Data Table'!D319),Settings!$G$15:$G$20,0)),TRIM('Data Table'!D319),LOOKUP(TRIM('Data Table'!D319),Settings!$G$15:$G$20,Settings!$H$15:$H$20))</f>
        <v>Nash</v>
      </c>
      <c r="C322" t="str">
        <f>IF('Data Table'!F319="","SS",IF('Data Table'!F319="SF","SD",TRIM('Data Table'!F319)))</f>
        <v>SS</v>
      </c>
      <c r="D322" s="106">
        <f ca="1">IF(ISBLANK(OFFSET('Data Table'!$A317,2,Settings!$G$5-1)),"",OFFSET('Data Table'!$A317,2,Settings!$G$5-1))</f>
        <v>21</v>
      </c>
      <c r="E322" s="106" t="str">
        <f ca="1">IF(ISBLANK(OFFSET('Data Table'!$A317,2,Settings!$G$5)),"",OFFSET('Data Table'!$A317,2,Settings!$G$5))</f>
        <v/>
      </c>
      <c r="F322" s="143" t="str">
        <f ca="1">IF(ISBLANK(OFFSET('Data Table'!$A317,2,Settings!$G$5+1)),"",OFFSET('Data Table'!$A317,2,Settings!$G$5+1))</f>
        <v/>
      </c>
      <c r="G322">
        <f t="shared" ca="1" si="4"/>
        <v>21</v>
      </c>
      <c r="H322">
        <f ca="1">IF(G322=-888,"",IF(G322=-999,Settings!$G$4,IF(AND($AA$6="Excluded",G322&gt;=Settings!$G$2),"",G322)))</f>
        <v>21</v>
      </c>
      <c r="I322">
        <f ca="1">IF(OR(G322=-999,G322=-888,AND($AA$6="Excluded",G322&gt;=Settings!$G$2)),"",G322)</f>
        <v>21</v>
      </c>
      <c r="O322" s="46"/>
    </row>
    <row r="323" spans="1:15" x14ac:dyDescent="0.2">
      <c r="A323" s="1">
        <v>318</v>
      </c>
      <c r="B323" t="str">
        <f>IF(ISERROR(MATCH(TRIM('Data Table'!D320),Settings!$G$15:$G$20,0)),TRIM('Data Table'!D320),LOOKUP(TRIM('Data Table'!D320),Settings!$G$15:$G$20,Settings!$H$15:$H$20))</f>
        <v>Bertie</v>
      </c>
      <c r="C323" t="str">
        <f>IF('Data Table'!F320="","SS",IF('Data Table'!F320="SF","SD",TRIM('Data Table'!F320)))</f>
        <v>SS</v>
      </c>
      <c r="D323" s="106">
        <f ca="1">IF(ISBLANK(OFFSET('Data Table'!$A318,2,Settings!$G$5-1)),"",OFFSET('Data Table'!$A318,2,Settings!$G$5-1))</f>
        <v>5</v>
      </c>
      <c r="E323" s="106" t="str">
        <f ca="1">IF(ISBLANK(OFFSET('Data Table'!$A318,2,Settings!$G$5)),"",OFFSET('Data Table'!$A318,2,Settings!$G$5))</f>
        <v/>
      </c>
      <c r="F323" s="143" t="str">
        <f ca="1">IF(ISBLANK(OFFSET('Data Table'!$A318,2,Settings!$G$5+1)),"",OFFSET('Data Table'!$A318,2,Settings!$G$5+1))</f>
        <v/>
      </c>
      <c r="G323">
        <f t="shared" ca="1" si="4"/>
        <v>5</v>
      </c>
      <c r="H323">
        <f ca="1">IF(G323=-888,"",IF(G323=-999,Settings!$G$4,IF(AND($AA$6="Excluded",G323&gt;=Settings!$G$2),"",G323)))</f>
        <v>5</v>
      </c>
      <c r="I323">
        <f ca="1">IF(OR(G323=-999,G323=-888,AND($AA$6="Excluded",G323&gt;=Settings!$G$2)),"",G323)</f>
        <v>5</v>
      </c>
      <c r="O323" s="46"/>
    </row>
    <row r="324" spans="1:15" x14ac:dyDescent="0.2">
      <c r="A324" s="1">
        <v>319</v>
      </c>
      <c r="B324" t="str">
        <f>IF(ISERROR(MATCH(TRIM('Data Table'!D321),Settings!$G$15:$G$20,0)),TRIM('Data Table'!D321),LOOKUP(TRIM('Data Table'!D321),Settings!$G$15:$G$20,Settings!$H$15:$H$20))</f>
        <v>Stokes</v>
      </c>
      <c r="C324" t="str">
        <f>IF('Data Table'!F321="","SS",IF('Data Table'!F321="SF","SD",TRIM('Data Table'!F321)))</f>
        <v>SS</v>
      </c>
      <c r="D324" s="106" t="str">
        <f ca="1">IF(ISBLANK(OFFSET('Data Table'!$A319,2,Settings!$G$5-1)),"",OFFSET('Data Table'!$A319,2,Settings!$G$5-1))</f>
        <v/>
      </c>
      <c r="E324" s="106">
        <f ca="1">IF(ISBLANK(OFFSET('Data Table'!$A319,2,Settings!$G$5)),"",OFFSET('Data Table'!$A319,2,Settings!$G$5))</f>
        <v>3.7439999999999998</v>
      </c>
      <c r="F324" s="143" t="str">
        <f ca="1">IF(ISBLANK(OFFSET('Data Table'!$A319,2,Settings!$G$5+1)),"",OFFSET('Data Table'!$A319,2,Settings!$G$5+1))</f>
        <v/>
      </c>
      <c r="G324">
        <f t="shared" ca="1" si="4"/>
        <v>3.7439999999999998</v>
      </c>
      <c r="H324">
        <f ca="1">IF(G324=-888,"",IF(G324=-999,Settings!$G$4,IF(AND($AA$6="Excluded",G324&gt;=Settings!$G$2),"",G324)))</f>
        <v>3.7439999999999998</v>
      </c>
      <c r="I324">
        <f ca="1">IF(OR(G324=-999,G324=-888,AND($AA$6="Excluded",G324&gt;=Settings!$G$2)),"",G324)</f>
        <v>3.7439999999999998</v>
      </c>
      <c r="O324" s="46"/>
    </row>
    <row r="325" spans="1:15" x14ac:dyDescent="0.2">
      <c r="A325" s="1">
        <v>320</v>
      </c>
      <c r="B325" t="str">
        <f>IF(ISERROR(MATCH(TRIM('Data Table'!D322),Settings!$G$15:$G$20,0)),TRIM('Data Table'!D322),LOOKUP(TRIM('Data Table'!D322),Settings!$G$15:$G$20,Settings!$H$15:$H$20))</f>
        <v>Stokes</v>
      </c>
      <c r="C325" t="str">
        <f>IF('Data Table'!F322="","SS",IF('Data Table'!F322="SF","SD",TRIM('Data Table'!F322)))</f>
        <v>SB</v>
      </c>
      <c r="D325" s="106" t="str">
        <f ca="1">IF(ISBLANK(OFFSET('Data Table'!$A320,2,Settings!$G$5-1)),"",OFFSET('Data Table'!$A320,2,Settings!$G$5-1))</f>
        <v/>
      </c>
      <c r="E325" s="106">
        <f ca="1">IF(ISBLANK(OFFSET('Data Table'!$A320,2,Settings!$G$5)),"",OFFSET('Data Table'!$A320,2,Settings!$G$5))</f>
        <v>14.399999999999999</v>
      </c>
      <c r="F325" s="143" t="str">
        <f ca="1">IF(ISBLANK(OFFSET('Data Table'!$A320,2,Settings!$G$5+1)),"",OFFSET('Data Table'!$A320,2,Settings!$G$5+1))</f>
        <v/>
      </c>
      <c r="G325">
        <f t="shared" ca="1" si="4"/>
        <v>14.399999999999999</v>
      </c>
      <c r="H325">
        <f ca="1">IF(G325=-888,"",IF(G325=-999,Settings!$G$4,IF(AND($AA$6="Excluded",G325&gt;=Settings!$G$2),"",G325)))</f>
        <v>14.399999999999999</v>
      </c>
      <c r="I325">
        <f ca="1">IF(OR(G325=-999,G325=-888,AND($AA$6="Excluded",G325&gt;=Settings!$G$2)),"",G325)</f>
        <v>14.399999999999999</v>
      </c>
      <c r="O325" s="46"/>
    </row>
    <row r="326" spans="1:15" x14ac:dyDescent="0.2">
      <c r="A326" s="1">
        <v>321</v>
      </c>
      <c r="B326" t="str">
        <f>IF(ISERROR(MATCH(TRIM('Data Table'!D323),Settings!$G$15:$G$20,0)),TRIM('Data Table'!D323),LOOKUP(TRIM('Data Table'!D323),Settings!$G$15:$G$20,Settings!$H$15:$H$20))</f>
        <v>Caldwell</v>
      </c>
      <c r="C326" t="str">
        <f>IF('Data Table'!F323="","SS",IF('Data Table'!F323="SF","SD",TRIM('Data Table'!F323)))</f>
        <v>SB</v>
      </c>
      <c r="D326" s="106">
        <f ca="1">IF(ISBLANK(OFFSET('Data Table'!$A321,2,Settings!$G$5-1)),"",OFFSET('Data Table'!$A321,2,Settings!$G$5-1))</f>
        <v>35</v>
      </c>
      <c r="E326" s="106" t="str">
        <f ca="1">IF(ISBLANK(OFFSET('Data Table'!$A321,2,Settings!$G$5)),"",OFFSET('Data Table'!$A321,2,Settings!$G$5))</f>
        <v/>
      </c>
      <c r="F326" s="143" t="str">
        <f ca="1">IF(ISBLANK(OFFSET('Data Table'!$A321,2,Settings!$G$5+1)),"",OFFSET('Data Table'!$A321,2,Settings!$G$5+1))</f>
        <v/>
      </c>
      <c r="G326">
        <f t="shared" ref="G326:G389" ca="1" si="5">IF(COUNTIF(SOIL_DEPTH,C326)=0,"",IF(OR(D326="#",E326="#",F326="#"),-999,IF(AND(D326="",E326="",F326=""),-888,IF(COUNT(D326:F326)&gt;1,"ERROR",MAX(D326:F326)))))</f>
        <v>35</v>
      </c>
      <c r="H326">
        <f ca="1">IF(G326=-888,"",IF(G326=-999,Settings!$G$4,IF(AND($AA$6="Excluded",G326&gt;=Settings!$G$2),"",G326)))</f>
        <v>35</v>
      </c>
      <c r="I326">
        <f ca="1">IF(OR(G326=-999,G326=-888,AND($AA$6="Excluded",G326&gt;=Settings!$G$2)),"",G326)</f>
        <v>35</v>
      </c>
      <c r="O326" s="46"/>
    </row>
    <row r="327" spans="1:15" x14ac:dyDescent="0.2">
      <c r="A327" s="1">
        <v>322</v>
      </c>
      <c r="B327" t="str">
        <f>IF(ISERROR(MATCH(TRIM('Data Table'!D324),Settings!$G$15:$G$20,0)),TRIM('Data Table'!D324),LOOKUP(TRIM('Data Table'!D324),Settings!$G$15:$G$20,Settings!$H$15:$H$20))</f>
        <v>Rutherford</v>
      </c>
      <c r="C327" t="str">
        <f>IF('Data Table'!F324="","SS",IF('Data Table'!F324="SF","SD",TRIM('Data Table'!F324)))</f>
        <v>SS</v>
      </c>
      <c r="D327" s="106">
        <f ca="1">IF(ISBLANK(OFFSET('Data Table'!$A322,2,Settings!$G$5-1)),"",OFFSET('Data Table'!$A322,2,Settings!$G$5-1))</f>
        <v>44</v>
      </c>
      <c r="E327" s="106" t="str">
        <f ca="1">IF(ISBLANK(OFFSET('Data Table'!$A322,2,Settings!$G$5)),"",OFFSET('Data Table'!$A322,2,Settings!$G$5))</f>
        <v/>
      </c>
      <c r="F327" s="143" t="str">
        <f ca="1">IF(ISBLANK(OFFSET('Data Table'!$A322,2,Settings!$G$5+1)),"",OFFSET('Data Table'!$A322,2,Settings!$G$5+1))</f>
        <v/>
      </c>
      <c r="G327">
        <f t="shared" ca="1" si="5"/>
        <v>44</v>
      </c>
      <c r="H327">
        <f ca="1">IF(G327=-888,"",IF(G327=-999,Settings!$G$4,IF(AND($AA$6="Excluded",G327&gt;=Settings!$G$2),"",G327)))</f>
        <v>44</v>
      </c>
      <c r="I327">
        <f ca="1">IF(OR(G327=-999,G327=-888,AND($AA$6="Excluded",G327&gt;=Settings!$G$2)),"",G327)</f>
        <v>44</v>
      </c>
      <c r="O327" s="46"/>
    </row>
    <row r="328" spans="1:15" x14ac:dyDescent="0.2">
      <c r="A328" s="1">
        <v>323</v>
      </c>
      <c r="B328" t="str">
        <f>IF(ISERROR(MATCH(TRIM('Data Table'!D325),Settings!$G$15:$G$20,0)),TRIM('Data Table'!D325),LOOKUP(TRIM('Data Table'!D325),Settings!$G$15:$G$20,Settings!$H$15:$H$20))</f>
        <v>Cabarrus</v>
      </c>
      <c r="C328" t="str">
        <f>IF('Data Table'!F325="","SS",IF('Data Table'!F325="SF","SD",TRIM('Data Table'!F325)))</f>
        <v>SS</v>
      </c>
      <c r="D328" s="106">
        <f ca="1">IF(ISBLANK(OFFSET('Data Table'!$A323,2,Settings!$G$5-1)),"",OFFSET('Data Table'!$A323,2,Settings!$G$5-1))</f>
        <v>47</v>
      </c>
      <c r="E328" s="106" t="str">
        <f ca="1">IF(ISBLANK(OFFSET('Data Table'!$A323,2,Settings!$G$5)),"",OFFSET('Data Table'!$A323,2,Settings!$G$5))</f>
        <v/>
      </c>
      <c r="F328" s="143" t="str">
        <f ca="1">IF(ISBLANK(OFFSET('Data Table'!$A323,2,Settings!$G$5+1)),"",OFFSET('Data Table'!$A323,2,Settings!$G$5+1))</f>
        <v/>
      </c>
      <c r="G328">
        <f t="shared" ca="1" si="5"/>
        <v>47</v>
      </c>
      <c r="H328">
        <f ca="1">IF(G328=-888,"",IF(G328=-999,Settings!$G$4,IF(AND($AA$6="Excluded",G328&gt;=Settings!$G$2),"",G328)))</f>
        <v>47</v>
      </c>
      <c r="I328">
        <f ca="1">IF(OR(G328=-999,G328=-888,AND($AA$6="Excluded",G328&gt;=Settings!$G$2)),"",G328)</f>
        <v>47</v>
      </c>
      <c r="O328" s="46"/>
    </row>
    <row r="329" spans="1:15" x14ac:dyDescent="0.2">
      <c r="A329" s="1">
        <v>324</v>
      </c>
      <c r="B329" t="str">
        <f>IF(ISERROR(MATCH(TRIM('Data Table'!D326),Settings!$G$15:$G$20,0)),TRIM('Data Table'!D326),LOOKUP(TRIM('Data Table'!D326),Settings!$G$15:$G$20,Settings!$H$15:$H$20))</f>
        <v>Cabarrus</v>
      </c>
      <c r="C329" t="str">
        <f>IF('Data Table'!F326="","SS",IF('Data Table'!F326="SF","SD",TRIM('Data Table'!F326)))</f>
        <v>SS</v>
      </c>
      <c r="D329" s="106">
        <f ca="1">IF(ISBLANK(OFFSET('Data Table'!$A324,2,Settings!$G$5-1)),"",OFFSET('Data Table'!$A324,2,Settings!$G$5-1))</f>
        <v>47</v>
      </c>
      <c r="E329" s="106" t="str">
        <f ca="1">IF(ISBLANK(OFFSET('Data Table'!$A324,2,Settings!$G$5)),"",OFFSET('Data Table'!$A324,2,Settings!$G$5))</f>
        <v/>
      </c>
      <c r="F329" s="143" t="str">
        <f ca="1">IF(ISBLANK(OFFSET('Data Table'!$A324,2,Settings!$G$5+1)),"",OFFSET('Data Table'!$A324,2,Settings!$G$5+1))</f>
        <v/>
      </c>
      <c r="G329">
        <f t="shared" ca="1" si="5"/>
        <v>47</v>
      </c>
      <c r="H329">
        <f ca="1">IF(G329=-888,"",IF(G329=-999,Settings!$G$4,IF(AND($AA$6="Excluded",G329&gt;=Settings!$G$2),"",G329)))</f>
        <v>47</v>
      </c>
      <c r="I329">
        <f ca="1">IF(OR(G329=-999,G329=-888,AND($AA$6="Excluded",G329&gt;=Settings!$G$2)),"",G329)</f>
        <v>47</v>
      </c>
      <c r="O329" s="46"/>
    </row>
    <row r="330" spans="1:15" x14ac:dyDescent="0.2">
      <c r="A330" s="1">
        <v>325</v>
      </c>
      <c r="B330" t="str">
        <f>IF(ISERROR(MATCH(TRIM('Data Table'!D327),Settings!$G$15:$G$20,0)),TRIM('Data Table'!D327),LOOKUP(TRIM('Data Table'!D327),Settings!$G$15:$G$20,Settings!$H$15:$H$20))</f>
        <v>Cabarrus</v>
      </c>
      <c r="C330" t="str">
        <f>IF('Data Table'!F327="","SS",IF('Data Table'!F327="SF","SD",TRIM('Data Table'!F327)))</f>
        <v>SS</v>
      </c>
      <c r="D330" s="106" t="str">
        <f ca="1">IF(ISBLANK(OFFSET('Data Table'!$A325,2,Settings!$G$5-1)),"",OFFSET('Data Table'!$A325,2,Settings!$G$5-1))</f>
        <v/>
      </c>
      <c r="E330" s="106" t="str">
        <f ca="1">IF(ISBLANK(OFFSET('Data Table'!$A325,2,Settings!$G$5)),"",OFFSET('Data Table'!$A325,2,Settings!$G$5))</f>
        <v/>
      </c>
      <c r="F330" s="143">
        <f ca="1">IF(ISBLANK(OFFSET('Data Table'!$A325,2,Settings!$G$5+1)),"",OFFSET('Data Table'!$A325,2,Settings!$G$5+1))</f>
        <v>20</v>
      </c>
      <c r="G330">
        <f t="shared" ca="1" si="5"/>
        <v>20</v>
      </c>
      <c r="H330">
        <f ca="1">IF(G330=-888,"",IF(G330=-999,Settings!$G$4,IF(AND($AA$6="Excluded",G330&gt;=Settings!$G$2),"",G330)))</f>
        <v>20</v>
      </c>
      <c r="I330">
        <f ca="1">IF(OR(G330=-999,G330=-888,AND($AA$6="Excluded",G330&gt;=Settings!$G$2)),"",G330)</f>
        <v>20</v>
      </c>
      <c r="O330" s="46"/>
    </row>
    <row r="331" spans="1:15" x14ac:dyDescent="0.2">
      <c r="A331" s="1">
        <v>326</v>
      </c>
      <c r="B331" t="str">
        <f>IF(ISERROR(MATCH(TRIM('Data Table'!D328),Settings!$G$15:$G$20,0)),TRIM('Data Table'!D328),LOOKUP(TRIM('Data Table'!D328),Settings!$G$15:$G$20,Settings!$H$15:$H$20))</f>
        <v>Cabarrus</v>
      </c>
      <c r="C331" t="str">
        <f>IF('Data Table'!F328="","SS",IF('Data Table'!F328="SF","SD",TRIM('Data Table'!F328)))</f>
        <v>SD</v>
      </c>
      <c r="D331" s="106" t="str">
        <f ca="1">IF(ISBLANK(OFFSET('Data Table'!$A326,2,Settings!$G$5-1)),"",OFFSET('Data Table'!$A326,2,Settings!$G$5-1))</f>
        <v/>
      </c>
      <c r="E331" s="106" t="str">
        <f ca="1">IF(ISBLANK(OFFSET('Data Table'!$A326,2,Settings!$G$5)),"",OFFSET('Data Table'!$A326,2,Settings!$G$5))</f>
        <v/>
      </c>
      <c r="F331" s="143">
        <f ca="1">IF(ISBLANK(OFFSET('Data Table'!$A326,2,Settings!$G$5+1)),"",OFFSET('Data Table'!$A326,2,Settings!$G$5+1))</f>
        <v>19.600000000000001</v>
      </c>
      <c r="G331">
        <f t="shared" ca="1" si="5"/>
        <v>19.600000000000001</v>
      </c>
      <c r="H331">
        <f ca="1">IF(G331=-888,"",IF(G331=-999,Settings!$G$4,IF(AND($AA$6="Excluded",G331&gt;=Settings!$G$2),"",G331)))</f>
        <v>19.600000000000001</v>
      </c>
      <c r="I331">
        <f ca="1">IF(OR(G331=-999,G331=-888,AND($AA$6="Excluded",G331&gt;=Settings!$G$2)),"",G331)</f>
        <v>19.600000000000001</v>
      </c>
      <c r="O331" s="46"/>
    </row>
    <row r="332" spans="1:15" x14ac:dyDescent="0.2">
      <c r="A332" s="1">
        <v>327</v>
      </c>
      <c r="B332" t="str">
        <f>IF(ISERROR(MATCH(TRIM('Data Table'!D329),Settings!$G$15:$G$20,0)),TRIM('Data Table'!D329),LOOKUP(TRIM('Data Table'!D329),Settings!$G$15:$G$20,Settings!$H$15:$H$20))</f>
        <v>Lee</v>
      </c>
      <c r="C332" t="str">
        <f>IF('Data Table'!F329="","SS",IF('Data Table'!F329="SF","SD",TRIM('Data Table'!F329)))</f>
        <v>SS</v>
      </c>
      <c r="D332" s="106" t="str">
        <f ca="1">IF(ISBLANK(OFFSET('Data Table'!$A327,2,Settings!$G$5-1)),"",OFFSET('Data Table'!$A327,2,Settings!$G$5-1))</f>
        <v/>
      </c>
      <c r="E332" s="106">
        <f ca="1">IF(ISBLANK(OFFSET('Data Table'!$A327,2,Settings!$G$5)),"",OFFSET('Data Table'!$A327,2,Settings!$G$5))</f>
        <v>12.383999999999999</v>
      </c>
      <c r="F332" s="143" t="str">
        <f ca="1">IF(ISBLANK(OFFSET('Data Table'!$A327,2,Settings!$G$5+1)),"",OFFSET('Data Table'!$A327,2,Settings!$G$5+1))</f>
        <v/>
      </c>
      <c r="G332">
        <f t="shared" ca="1" si="5"/>
        <v>12.383999999999999</v>
      </c>
      <c r="H332">
        <f ca="1">IF(G332=-888,"",IF(G332=-999,Settings!$G$4,IF(AND($AA$6="Excluded",G332&gt;=Settings!$G$2),"",G332)))</f>
        <v>12.383999999999999</v>
      </c>
      <c r="I332">
        <f ca="1">IF(OR(G332=-999,G332=-888,AND($AA$6="Excluded",G332&gt;=Settings!$G$2)),"",G332)</f>
        <v>12.383999999999999</v>
      </c>
      <c r="O332" s="46"/>
    </row>
    <row r="333" spans="1:15" x14ac:dyDescent="0.2">
      <c r="A333" s="1">
        <v>328</v>
      </c>
      <c r="B333" t="str">
        <f>IF(ISERROR(MATCH(TRIM('Data Table'!D330),Settings!$G$15:$G$20,0)),TRIM('Data Table'!D330),LOOKUP(TRIM('Data Table'!D330),Settings!$G$15:$G$20,Settings!$H$15:$H$20))</f>
        <v>Lee</v>
      </c>
      <c r="C333" t="str">
        <f>IF('Data Table'!F330="","SS",IF('Data Table'!F330="SF","SD",TRIM('Data Table'!F330)))</f>
        <v>SB</v>
      </c>
      <c r="D333" s="106" t="str">
        <f ca="1">IF(ISBLANK(OFFSET('Data Table'!$A328,2,Settings!$G$5-1)),"",OFFSET('Data Table'!$A328,2,Settings!$G$5-1))</f>
        <v/>
      </c>
      <c r="E333" s="106">
        <f ca="1">IF(ISBLANK(OFFSET('Data Table'!$A328,2,Settings!$G$5)),"",OFFSET('Data Table'!$A328,2,Settings!$G$5))</f>
        <v>9.6479999999999997</v>
      </c>
      <c r="F333" s="143" t="str">
        <f ca="1">IF(ISBLANK(OFFSET('Data Table'!$A328,2,Settings!$G$5+1)),"",OFFSET('Data Table'!$A328,2,Settings!$G$5+1))</f>
        <v/>
      </c>
      <c r="G333">
        <f t="shared" ca="1" si="5"/>
        <v>9.6479999999999997</v>
      </c>
      <c r="H333">
        <f ca="1">IF(G333=-888,"",IF(G333=-999,Settings!$G$4,IF(AND($AA$6="Excluded",G333&gt;=Settings!$G$2),"",G333)))</f>
        <v>9.6479999999999997</v>
      </c>
      <c r="I333">
        <f ca="1">IF(OR(G333=-999,G333=-888,AND($AA$6="Excluded",G333&gt;=Settings!$G$2)),"",G333)</f>
        <v>9.6479999999999997</v>
      </c>
      <c r="O333" s="46"/>
    </row>
    <row r="334" spans="1:15" x14ac:dyDescent="0.2">
      <c r="A334" s="1">
        <v>329</v>
      </c>
      <c r="B334" t="str">
        <f>IF(ISERROR(MATCH(TRIM('Data Table'!D331),Settings!$G$15:$G$20,0)),TRIM('Data Table'!D331),LOOKUP(TRIM('Data Table'!D331),Settings!$G$15:$G$20,Settings!$H$15:$H$20))</f>
        <v>Lee</v>
      </c>
      <c r="C334" t="str">
        <f>IF('Data Table'!F331="","SS",IF('Data Table'!F331="SF","SD",TRIM('Data Table'!F331)))</f>
        <v>SD</v>
      </c>
      <c r="D334" s="106" t="str">
        <f ca="1">IF(ISBLANK(OFFSET('Data Table'!$A329,2,Settings!$G$5-1)),"",OFFSET('Data Table'!$A329,2,Settings!$G$5-1))</f>
        <v/>
      </c>
      <c r="E334" s="106">
        <f ca="1">IF(ISBLANK(OFFSET('Data Table'!$A329,2,Settings!$G$5)),"",OFFSET('Data Table'!$A329,2,Settings!$G$5))</f>
        <v>17.28</v>
      </c>
      <c r="F334" s="143" t="str">
        <f ca="1">IF(ISBLANK(OFFSET('Data Table'!$A329,2,Settings!$G$5+1)),"",OFFSET('Data Table'!$A329,2,Settings!$G$5+1))</f>
        <v/>
      </c>
      <c r="G334">
        <f t="shared" ca="1" si="5"/>
        <v>17.28</v>
      </c>
      <c r="H334">
        <f ca="1">IF(G334=-888,"",IF(G334=-999,Settings!$G$4,IF(AND($AA$6="Excluded",G334&gt;=Settings!$G$2),"",G334)))</f>
        <v>17.28</v>
      </c>
      <c r="I334">
        <f ca="1">IF(OR(G334=-999,G334=-888,AND($AA$6="Excluded",G334&gt;=Settings!$G$2)),"",G334)</f>
        <v>17.28</v>
      </c>
      <c r="O334" s="46"/>
    </row>
    <row r="335" spans="1:15" x14ac:dyDescent="0.2">
      <c r="A335" s="1">
        <v>330</v>
      </c>
      <c r="B335" t="str">
        <f>IF(ISERROR(MATCH(TRIM('Data Table'!D332),Settings!$G$15:$G$20,0)),TRIM('Data Table'!D332),LOOKUP(TRIM('Data Table'!D332),Settings!$G$15:$G$20,Settings!$H$15:$H$20))</f>
        <v>Burke</v>
      </c>
      <c r="C335" t="str">
        <f>IF('Data Table'!F332="","SS",IF('Data Table'!F332="SF","SD",TRIM('Data Table'!F332)))</f>
        <v>SS</v>
      </c>
      <c r="D335" s="106">
        <f ca="1">IF(ISBLANK(OFFSET('Data Table'!$A330,2,Settings!$G$5-1)),"",OFFSET('Data Table'!$A330,2,Settings!$G$5-1))</f>
        <v>7.2</v>
      </c>
      <c r="E335" s="106" t="str">
        <f ca="1">IF(ISBLANK(OFFSET('Data Table'!$A330,2,Settings!$G$5)),"",OFFSET('Data Table'!$A330,2,Settings!$G$5))</f>
        <v/>
      </c>
      <c r="F335" s="143" t="str">
        <f ca="1">IF(ISBLANK(OFFSET('Data Table'!$A330,2,Settings!$G$5+1)),"",OFFSET('Data Table'!$A330,2,Settings!$G$5+1))</f>
        <v/>
      </c>
      <c r="G335">
        <f t="shared" ca="1" si="5"/>
        <v>7.2</v>
      </c>
      <c r="H335">
        <f ca="1">IF(G335=-888,"",IF(G335=-999,Settings!$G$4,IF(AND($AA$6="Excluded",G335&gt;=Settings!$G$2),"",G335)))</f>
        <v>7.2</v>
      </c>
      <c r="I335">
        <f ca="1">IF(OR(G335=-999,G335=-888,AND($AA$6="Excluded",G335&gt;=Settings!$G$2)),"",G335)</f>
        <v>7.2</v>
      </c>
      <c r="O335" s="46"/>
    </row>
    <row r="336" spans="1:15" x14ac:dyDescent="0.2">
      <c r="A336" s="1">
        <v>331</v>
      </c>
      <c r="B336" t="str">
        <f>IF(ISERROR(MATCH(TRIM('Data Table'!D333),Settings!$G$15:$G$20,0)),TRIM('Data Table'!D333),LOOKUP(TRIM('Data Table'!D333),Settings!$G$15:$G$20,Settings!$H$15:$H$20))</f>
        <v>Burke</v>
      </c>
      <c r="C336" t="str">
        <f>IF('Data Table'!F333="","SS",IF('Data Table'!F333="SF","SD",TRIM('Data Table'!F333)))</f>
        <v>SB</v>
      </c>
      <c r="D336" s="106">
        <f ca="1">IF(ISBLANK(OFFSET('Data Table'!$A331,2,Settings!$G$5-1)),"",OFFSET('Data Table'!$A331,2,Settings!$G$5-1))</f>
        <v>96</v>
      </c>
      <c r="E336" s="106" t="str">
        <f ca="1">IF(ISBLANK(OFFSET('Data Table'!$A331,2,Settings!$G$5)),"",OFFSET('Data Table'!$A331,2,Settings!$G$5))</f>
        <v/>
      </c>
      <c r="F336" s="143" t="str">
        <f ca="1">IF(ISBLANK(OFFSET('Data Table'!$A331,2,Settings!$G$5+1)),"",OFFSET('Data Table'!$A331,2,Settings!$G$5+1))</f>
        <v/>
      </c>
      <c r="G336">
        <f t="shared" ca="1" si="5"/>
        <v>96</v>
      </c>
      <c r="H336">
        <f ca="1">IF(G336=-888,"",IF(G336=-999,Settings!$G$4,IF(AND($AA$6="Excluded",G336&gt;=Settings!$G$2),"",G336)))</f>
        <v>96</v>
      </c>
      <c r="I336">
        <f ca="1">IF(OR(G336=-999,G336=-888,AND($AA$6="Excluded",G336&gt;=Settings!$G$2)),"",G336)</f>
        <v>96</v>
      </c>
      <c r="O336" s="46"/>
    </row>
    <row r="337" spans="1:15" x14ac:dyDescent="0.2">
      <c r="A337" s="1">
        <v>332</v>
      </c>
      <c r="B337" t="str">
        <f>IF(ISERROR(MATCH(TRIM('Data Table'!D334),Settings!$G$15:$G$20,0)),TRIM('Data Table'!D334),LOOKUP(TRIM('Data Table'!D334),Settings!$G$15:$G$20,Settings!$H$15:$H$20))</f>
        <v>Burke</v>
      </c>
      <c r="C337" t="str">
        <f>IF('Data Table'!F334="","SS",IF('Data Table'!F334="SF","SD",TRIM('Data Table'!F334)))</f>
        <v>SB</v>
      </c>
      <c r="D337" s="106">
        <f ca="1">IF(ISBLANK(OFFSET('Data Table'!$A332,2,Settings!$G$5-1)),"",OFFSET('Data Table'!$A332,2,Settings!$G$5-1))</f>
        <v>62</v>
      </c>
      <c r="E337" s="106" t="str">
        <f ca="1">IF(ISBLANK(OFFSET('Data Table'!$A332,2,Settings!$G$5)),"",OFFSET('Data Table'!$A332,2,Settings!$G$5))</f>
        <v/>
      </c>
      <c r="F337" s="143" t="str">
        <f ca="1">IF(ISBLANK(OFFSET('Data Table'!$A332,2,Settings!$G$5+1)),"",OFFSET('Data Table'!$A332,2,Settings!$G$5+1))</f>
        <v/>
      </c>
      <c r="G337">
        <f t="shared" ca="1" si="5"/>
        <v>62</v>
      </c>
      <c r="H337">
        <f ca="1">IF(G337=-888,"",IF(G337=-999,Settings!$G$4,IF(AND($AA$6="Excluded",G337&gt;=Settings!$G$2),"",G337)))</f>
        <v>62</v>
      </c>
      <c r="I337">
        <f ca="1">IF(OR(G337=-999,G337=-888,AND($AA$6="Excluded",G337&gt;=Settings!$G$2)),"",G337)</f>
        <v>62</v>
      </c>
      <c r="O337" s="46"/>
    </row>
    <row r="338" spans="1:15" x14ac:dyDescent="0.2">
      <c r="A338" s="1">
        <v>333</v>
      </c>
      <c r="B338" t="str">
        <f>IF(ISERROR(MATCH(TRIM('Data Table'!D335),Settings!$G$15:$G$20,0)),TRIM('Data Table'!D335),LOOKUP(TRIM('Data Table'!D335),Settings!$G$15:$G$20,Settings!$H$15:$H$20))</f>
        <v>Burke</v>
      </c>
      <c r="C338" t="str">
        <f>IF('Data Table'!F335="","SS",IF('Data Table'!F335="SF","SD",TRIM('Data Table'!F335)))</f>
        <v>SB</v>
      </c>
      <c r="D338" s="106">
        <f ca="1">IF(ISBLANK(OFFSET('Data Table'!$A333,2,Settings!$G$5-1)),"",OFFSET('Data Table'!$A333,2,Settings!$G$5-1))</f>
        <v>17</v>
      </c>
      <c r="E338" s="106" t="str">
        <f ca="1">IF(ISBLANK(OFFSET('Data Table'!$A333,2,Settings!$G$5)),"",OFFSET('Data Table'!$A333,2,Settings!$G$5))</f>
        <v/>
      </c>
      <c r="F338" s="143" t="str">
        <f ca="1">IF(ISBLANK(OFFSET('Data Table'!$A333,2,Settings!$G$5+1)),"",OFFSET('Data Table'!$A333,2,Settings!$G$5+1))</f>
        <v/>
      </c>
      <c r="G338">
        <f t="shared" ca="1" si="5"/>
        <v>17</v>
      </c>
      <c r="H338">
        <f ca="1">IF(G338=-888,"",IF(G338=-999,Settings!$G$4,IF(AND($AA$6="Excluded",G338&gt;=Settings!$G$2),"",G338)))</f>
        <v>17</v>
      </c>
      <c r="I338">
        <f ca="1">IF(OR(G338=-999,G338=-888,AND($AA$6="Excluded",G338&gt;=Settings!$G$2)),"",G338)</f>
        <v>17</v>
      </c>
      <c r="O338" s="46"/>
    </row>
    <row r="339" spans="1:15" x14ac:dyDescent="0.2">
      <c r="A339" s="1">
        <v>334</v>
      </c>
      <c r="B339" t="str">
        <f>IF(ISERROR(MATCH(TRIM('Data Table'!D336),Settings!$G$15:$G$20,0)),TRIM('Data Table'!D336),LOOKUP(TRIM('Data Table'!D336),Settings!$G$15:$G$20,Settings!$H$15:$H$20))</f>
        <v>Burke</v>
      </c>
      <c r="C339" t="str">
        <f>IF('Data Table'!F336="","SS",IF('Data Table'!F336="SF","SD",TRIM('Data Table'!F336)))</f>
        <v>SB</v>
      </c>
      <c r="D339" s="106">
        <f ca="1">IF(ISBLANK(OFFSET('Data Table'!$A334,2,Settings!$G$5-1)),"",OFFSET('Data Table'!$A334,2,Settings!$G$5-1))</f>
        <v>2.4</v>
      </c>
      <c r="E339" s="106" t="str">
        <f ca="1">IF(ISBLANK(OFFSET('Data Table'!$A334,2,Settings!$G$5)),"",OFFSET('Data Table'!$A334,2,Settings!$G$5))</f>
        <v/>
      </c>
      <c r="F339" s="143" t="str">
        <f ca="1">IF(ISBLANK(OFFSET('Data Table'!$A334,2,Settings!$G$5+1)),"",OFFSET('Data Table'!$A334,2,Settings!$G$5+1))</f>
        <v/>
      </c>
      <c r="G339">
        <f t="shared" ca="1" si="5"/>
        <v>2.4</v>
      </c>
      <c r="H339">
        <f ca="1">IF(G339=-888,"",IF(G339=-999,Settings!$G$4,IF(AND($AA$6="Excluded",G339&gt;=Settings!$G$2),"",G339)))</f>
        <v>2.4</v>
      </c>
      <c r="I339">
        <f ca="1">IF(OR(G339=-999,G339=-888,AND($AA$6="Excluded",G339&gt;=Settings!$G$2)),"",G339)</f>
        <v>2.4</v>
      </c>
      <c r="O339" s="46"/>
    </row>
    <row r="340" spans="1:15" x14ac:dyDescent="0.2">
      <c r="A340" s="1">
        <v>335</v>
      </c>
      <c r="B340" t="str">
        <f>IF(ISERROR(MATCH(TRIM('Data Table'!D337),Settings!$G$15:$G$20,0)),TRIM('Data Table'!D337),LOOKUP(TRIM('Data Table'!D337),Settings!$G$15:$G$20,Settings!$H$15:$H$20))</f>
        <v>Brunswick</v>
      </c>
      <c r="C340" t="str">
        <f>IF('Data Table'!F337="","SS",IF('Data Table'!F337="SF","SD",TRIM('Data Table'!F337)))</f>
        <v>SS</v>
      </c>
      <c r="D340" s="106" t="str">
        <f ca="1">IF(ISBLANK(OFFSET('Data Table'!$A335,2,Settings!$G$5-1)),"",OFFSET('Data Table'!$A335,2,Settings!$G$5-1))</f>
        <v/>
      </c>
      <c r="E340" s="106" t="str">
        <f ca="1">IF(ISBLANK(OFFSET('Data Table'!$A335,2,Settings!$G$5)),"",OFFSET('Data Table'!$A335,2,Settings!$G$5))</f>
        <v/>
      </c>
      <c r="F340" s="143">
        <f ca="1">IF(ISBLANK(OFFSET('Data Table'!$A335,2,Settings!$G$5+1)),"",OFFSET('Data Table'!$A335,2,Settings!$G$5+1))</f>
        <v>20</v>
      </c>
      <c r="G340">
        <f t="shared" ca="1" si="5"/>
        <v>20</v>
      </c>
      <c r="H340">
        <f ca="1">IF(G340=-888,"",IF(G340=-999,Settings!$G$4,IF(AND($AA$6="Excluded",G340&gt;=Settings!$G$2),"",G340)))</f>
        <v>20</v>
      </c>
      <c r="I340">
        <f ca="1">IF(OR(G340=-999,G340=-888,AND($AA$6="Excluded",G340&gt;=Settings!$G$2)),"",G340)</f>
        <v>20</v>
      </c>
      <c r="O340" s="46"/>
    </row>
    <row r="341" spans="1:15" x14ac:dyDescent="0.2">
      <c r="A341" s="1">
        <v>336</v>
      </c>
      <c r="B341" t="str">
        <f>IF(ISERROR(MATCH(TRIM('Data Table'!D338),Settings!$G$15:$G$20,0)),TRIM('Data Table'!D338),LOOKUP(TRIM('Data Table'!D338),Settings!$G$15:$G$20,Settings!$H$15:$H$20))</f>
        <v>Brunswick</v>
      </c>
      <c r="C341" t="str">
        <f>IF('Data Table'!F338="","SS",IF('Data Table'!F338="SF","SD",TRIM('Data Table'!F338)))</f>
        <v>SS</v>
      </c>
      <c r="D341" s="106" t="str">
        <f ca="1">IF(ISBLANK(OFFSET('Data Table'!$A336,2,Settings!$G$5-1)),"",OFFSET('Data Table'!$A336,2,Settings!$G$5-1))</f>
        <v/>
      </c>
      <c r="E341" s="106" t="str">
        <f ca="1">IF(ISBLANK(OFFSET('Data Table'!$A336,2,Settings!$G$5)),"",OFFSET('Data Table'!$A336,2,Settings!$G$5))</f>
        <v/>
      </c>
      <c r="F341" s="143">
        <f ca="1">IF(ISBLANK(OFFSET('Data Table'!$A336,2,Settings!$G$5+1)),"",OFFSET('Data Table'!$A336,2,Settings!$G$5+1))</f>
        <v>20</v>
      </c>
      <c r="G341">
        <f t="shared" ca="1" si="5"/>
        <v>20</v>
      </c>
      <c r="H341">
        <f ca="1">IF(G341=-888,"",IF(G341=-999,Settings!$G$4,IF(AND($AA$6="Excluded",G341&gt;=Settings!$G$2),"",G341)))</f>
        <v>20</v>
      </c>
      <c r="I341">
        <f ca="1">IF(OR(G341=-999,G341=-888,AND($AA$6="Excluded",G341&gt;=Settings!$G$2)),"",G341)</f>
        <v>20</v>
      </c>
      <c r="O341" s="46"/>
    </row>
    <row r="342" spans="1:15" x14ac:dyDescent="0.2">
      <c r="A342" s="1">
        <v>337</v>
      </c>
      <c r="B342" t="str">
        <f>IF(ISERROR(MATCH(TRIM('Data Table'!D339),Settings!$G$15:$G$20,0)),TRIM('Data Table'!D339),LOOKUP(TRIM('Data Table'!D339),Settings!$G$15:$G$20,Settings!$H$15:$H$20))</f>
        <v>Brunswick</v>
      </c>
      <c r="C342" t="str">
        <f>IF('Data Table'!F339="","SS",IF('Data Table'!F339="SF","SD",TRIM('Data Table'!F339)))</f>
        <v>SD</v>
      </c>
      <c r="D342" s="106" t="str">
        <f ca="1">IF(ISBLANK(OFFSET('Data Table'!$A337,2,Settings!$G$5-1)),"",OFFSET('Data Table'!$A337,2,Settings!$G$5-1))</f>
        <v/>
      </c>
      <c r="E342" s="106" t="str">
        <f ca="1">IF(ISBLANK(OFFSET('Data Table'!$A337,2,Settings!$G$5)),"",OFFSET('Data Table'!$A337,2,Settings!$G$5))</f>
        <v/>
      </c>
      <c r="F342" s="143">
        <f ca="1">IF(ISBLANK(OFFSET('Data Table'!$A337,2,Settings!$G$5+1)),"",OFFSET('Data Table'!$A337,2,Settings!$G$5+1))</f>
        <v>20</v>
      </c>
      <c r="G342">
        <f t="shared" ca="1" si="5"/>
        <v>20</v>
      </c>
      <c r="H342">
        <f ca="1">IF(G342=-888,"",IF(G342=-999,Settings!$G$4,IF(AND($AA$6="Excluded",G342&gt;=Settings!$G$2),"",G342)))</f>
        <v>20</v>
      </c>
      <c r="I342">
        <f ca="1">IF(OR(G342=-999,G342=-888,AND($AA$6="Excluded",G342&gt;=Settings!$G$2)),"",G342)</f>
        <v>20</v>
      </c>
      <c r="O342" s="46"/>
    </row>
    <row r="343" spans="1:15" x14ac:dyDescent="0.2">
      <c r="A343" s="1">
        <v>338</v>
      </c>
      <c r="B343" t="str">
        <f>IF(ISERROR(MATCH(TRIM('Data Table'!D340),Settings!$G$15:$G$20,0)),TRIM('Data Table'!D340),LOOKUP(TRIM('Data Table'!D340),Settings!$G$15:$G$20,Settings!$H$15:$H$20))</f>
        <v>Gaston</v>
      </c>
      <c r="C343" t="str">
        <f>IF('Data Table'!F340="","SS",IF('Data Table'!F340="SF","SD",TRIM('Data Table'!F340)))</f>
        <v>SS</v>
      </c>
      <c r="D343" s="106">
        <f ca="1">IF(ISBLANK(OFFSET('Data Table'!$A338,2,Settings!$G$5-1)),"",OFFSET('Data Table'!$A338,2,Settings!$G$5-1))</f>
        <v>71</v>
      </c>
      <c r="E343" s="106" t="str">
        <f ca="1">IF(ISBLANK(OFFSET('Data Table'!$A338,2,Settings!$G$5)),"",OFFSET('Data Table'!$A338,2,Settings!$G$5))</f>
        <v/>
      </c>
      <c r="F343" s="143" t="str">
        <f ca="1">IF(ISBLANK(OFFSET('Data Table'!$A338,2,Settings!$G$5+1)),"",OFFSET('Data Table'!$A338,2,Settings!$G$5+1))</f>
        <v/>
      </c>
      <c r="G343">
        <f t="shared" ca="1" si="5"/>
        <v>71</v>
      </c>
      <c r="H343">
        <f ca="1">IF(G343=-888,"",IF(G343=-999,Settings!$G$4,IF(AND($AA$6="Excluded",G343&gt;=Settings!$G$2),"",G343)))</f>
        <v>71</v>
      </c>
      <c r="I343">
        <f ca="1">IF(OR(G343=-999,G343=-888,AND($AA$6="Excluded",G343&gt;=Settings!$G$2)),"",G343)</f>
        <v>71</v>
      </c>
      <c r="O343" s="46"/>
    </row>
    <row r="344" spans="1:15" x14ac:dyDescent="0.2">
      <c r="A344" s="1">
        <v>339</v>
      </c>
      <c r="B344" t="str">
        <f>IF(ISERROR(MATCH(TRIM('Data Table'!D341),Settings!$G$15:$G$20,0)),TRIM('Data Table'!D341),LOOKUP(TRIM('Data Table'!D341),Settings!$G$15:$G$20,Settings!$H$15:$H$20))</f>
        <v>Gaston</v>
      </c>
      <c r="C344" t="str">
        <f>IF('Data Table'!F341="","SS",IF('Data Table'!F341="SF","SD",TRIM('Data Table'!F341)))</f>
        <v>SD</v>
      </c>
      <c r="D344" s="106">
        <f ca="1">IF(ISBLANK(OFFSET('Data Table'!$A339,2,Settings!$G$5-1)),"",OFFSET('Data Table'!$A339,2,Settings!$G$5-1))</f>
        <v>19.600000000000001</v>
      </c>
      <c r="E344" s="106" t="str">
        <f ca="1">IF(ISBLANK(OFFSET('Data Table'!$A339,2,Settings!$G$5)),"",OFFSET('Data Table'!$A339,2,Settings!$G$5))</f>
        <v/>
      </c>
      <c r="F344" s="143" t="str">
        <f ca="1">IF(ISBLANK(OFFSET('Data Table'!$A339,2,Settings!$G$5+1)),"",OFFSET('Data Table'!$A339,2,Settings!$G$5+1))</f>
        <v/>
      </c>
      <c r="G344">
        <f t="shared" ca="1" si="5"/>
        <v>19.600000000000001</v>
      </c>
      <c r="H344">
        <f ca="1">IF(G344=-888,"",IF(G344=-999,Settings!$G$4,IF(AND($AA$6="Excluded",G344&gt;=Settings!$G$2),"",G344)))</f>
        <v>19.600000000000001</v>
      </c>
      <c r="I344">
        <f ca="1">IF(OR(G344=-999,G344=-888,AND($AA$6="Excluded",G344&gt;=Settings!$G$2)),"",G344)</f>
        <v>19.600000000000001</v>
      </c>
      <c r="O344" s="46"/>
    </row>
    <row r="345" spans="1:15" x14ac:dyDescent="0.2">
      <c r="A345" s="1">
        <v>340</v>
      </c>
      <c r="B345" t="str">
        <f>IF(ISERROR(MATCH(TRIM('Data Table'!D342),Settings!$G$15:$G$20,0)),TRIM('Data Table'!D342),LOOKUP(TRIM('Data Table'!D342),Settings!$G$15:$G$20,Settings!$H$15:$H$20))</f>
        <v>Cumberland</v>
      </c>
      <c r="C345" t="str">
        <f>IF('Data Table'!F342="","SS",IF('Data Table'!F342="SF","SD",TRIM('Data Table'!F342)))</f>
        <v>SS</v>
      </c>
      <c r="D345" s="106" t="str">
        <f ca="1">IF(ISBLANK(OFFSET('Data Table'!$A340,2,Settings!$G$5-1)),"",OFFSET('Data Table'!$A340,2,Settings!$G$5-1))</f>
        <v/>
      </c>
      <c r="E345" s="106" t="str">
        <f ca="1">IF(ISBLANK(OFFSET('Data Table'!$A340,2,Settings!$G$5)),"",OFFSET('Data Table'!$A340,2,Settings!$G$5))</f>
        <v/>
      </c>
      <c r="F345" s="143">
        <f ca="1">IF(ISBLANK(OFFSET('Data Table'!$A340,2,Settings!$G$5+1)),"",OFFSET('Data Table'!$A340,2,Settings!$G$5+1))</f>
        <v>20</v>
      </c>
      <c r="G345">
        <f t="shared" ca="1" si="5"/>
        <v>20</v>
      </c>
      <c r="H345">
        <f ca="1">IF(G345=-888,"",IF(G345=-999,Settings!$G$4,IF(AND($AA$6="Excluded",G345&gt;=Settings!$G$2),"",G345)))</f>
        <v>20</v>
      </c>
      <c r="I345">
        <f ca="1">IF(OR(G345=-999,G345=-888,AND($AA$6="Excluded",G345&gt;=Settings!$G$2)),"",G345)</f>
        <v>20</v>
      </c>
      <c r="O345" s="46"/>
    </row>
    <row r="346" spans="1:15" x14ac:dyDescent="0.2">
      <c r="A346" s="1">
        <v>341</v>
      </c>
      <c r="B346" t="str">
        <f>IF(ISERROR(MATCH(TRIM('Data Table'!D343),Settings!$G$15:$G$20,0)),TRIM('Data Table'!D343),LOOKUP(TRIM('Data Table'!D343),Settings!$G$15:$G$20,Settings!$H$15:$H$20))</f>
        <v>Edgecombe</v>
      </c>
      <c r="C346" t="str">
        <f>IF('Data Table'!F343="","SS",IF('Data Table'!F343="SF","SD",TRIM('Data Table'!F343)))</f>
        <v>SS</v>
      </c>
      <c r="D346" s="106">
        <f ca="1">IF(ISBLANK(OFFSET('Data Table'!$A341,2,Settings!$G$5-1)),"",OFFSET('Data Table'!$A341,2,Settings!$G$5-1))</f>
        <v>4</v>
      </c>
      <c r="E346" s="106" t="str">
        <f ca="1">IF(ISBLANK(OFFSET('Data Table'!$A341,2,Settings!$G$5)),"",OFFSET('Data Table'!$A341,2,Settings!$G$5))</f>
        <v/>
      </c>
      <c r="F346" s="143" t="str">
        <f ca="1">IF(ISBLANK(OFFSET('Data Table'!$A341,2,Settings!$G$5+1)),"",OFFSET('Data Table'!$A341,2,Settings!$G$5+1))</f>
        <v/>
      </c>
      <c r="G346">
        <f t="shared" ca="1" si="5"/>
        <v>4</v>
      </c>
      <c r="H346">
        <f ca="1">IF(G346=-888,"",IF(G346=-999,Settings!$G$4,IF(AND($AA$6="Excluded",G346&gt;=Settings!$G$2),"",G346)))</f>
        <v>4</v>
      </c>
      <c r="I346">
        <f ca="1">IF(OR(G346=-999,G346=-888,AND($AA$6="Excluded",G346&gt;=Settings!$G$2)),"",G346)</f>
        <v>4</v>
      </c>
      <c r="O346" s="46"/>
    </row>
    <row r="347" spans="1:15" x14ac:dyDescent="0.2">
      <c r="A347" s="1">
        <v>342</v>
      </c>
      <c r="B347" t="str">
        <f>IF(ISERROR(MATCH(TRIM('Data Table'!D344),Settings!$G$15:$G$20,0)),TRIM('Data Table'!D344),LOOKUP(TRIM('Data Table'!D344),Settings!$G$15:$G$20,Settings!$H$15:$H$20))</f>
        <v>Catawba</v>
      </c>
      <c r="C347" t="str">
        <f>IF('Data Table'!F344="","SS",IF('Data Table'!F344="SF","SD",TRIM('Data Table'!F344)))</f>
        <v>SS</v>
      </c>
      <c r="D347" s="106">
        <f ca="1">IF(ISBLANK(OFFSET('Data Table'!$A342,2,Settings!$G$5-1)),"",OFFSET('Data Table'!$A342,2,Settings!$G$5-1))</f>
        <v>20</v>
      </c>
      <c r="E347" s="106" t="str">
        <f ca="1">IF(ISBLANK(OFFSET('Data Table'!$A342,2,Settings!$G$5)),"",OFFSET('Data Table'!$A342,2,Settings!$G$5))</f>
        <v/>
      </c>
      <c r="F347" s="143" t="str">
        <f ca="1">IF(ISBLANK(OFFSET('Data Table'!$A342,2,Settings!$G$5+1)),"",OFFSET('Data Table'!$A342,2,Settings!$G$5+1))</f>
        <v/>
      </c>
      <c r="G347">
        <f t="shared" ca="1" si="5"/>
        <v>20</v>
      </c>
      <c r="H347">
        <f ca="1">IF(G347=-888,"",IF(G347=-999,Settings!$G$4,IF(AND($AA$6="Excluded",G347&gt;=Settings!$G$2),"",G347)))</f>
        <v>20</v>
      </c>
      <c r="I347">
        <f ca="1">IF(OR(G347=-999,G347=-888,AND($AA$6="Excluded",G347&gt;=Settings!$G$2)),"",G347)</f>
        <v>20</v>
      </c>
      <c r="O347" s="46"/>
    </row>
    <row r="348" spans="1:15" x14ac:dyDescent="0.2">
      <c r="A348" s="1">
        <v>343</v>
      </c>
      <c r="B348" t="str">
        <f>IF(ISERROR(MATCH(TRIM('Data Table'!D345),Settings!$G$15:$G$20,0)),TRIM('Data Table'!D345),LOOKUP(TRIM('Data Table'!D345),Settings!$G$15:$G$20,Settings!$H$15:$H$20))</f>
        <v>Catawba</v>
      </c>
      <c r="C348" t="str">
        <f>IF('Data Table'!F345="","SS",IF('Data Table'!F345="SF","SD",TRIM('Data Table'!F345)))</f>
        <v>SB</v>
      </c>
      <c r="D348" s="106">
        <f ca="1">IF(ISBLANK(OFFSET('Data Table'!$A343,2,Settings!$G$5-1)),"",OFFSET('Data Table'!$A343,2,Settings!$G$5-1))</f>
        <v>21</v>
      </c>
      <c r="E348" s="106" t="str">
        <f ca="1">IF(ISBLANK(OFFSET('Data Table'!$A343,2,Settings!$G$5)),"",OFFSET('Data Table'!$A343,2,Settings!$G$5))</f>
        <v/>
      </c>
      <c r="F348" s="143" t="str">
        <f ca="1">IF(ISBLANK(OFFSET('Data Table'!$A343,2,Settings!$G$5+1)),"",OFFSET('Data Table'!$A343,2,Settings!$G$5+1))</f>
        <v/>
      </c>
      <c r="G348">
        <f t="shared" ca="1" si="5"/>
        <v>21</v>
      </c>
      <c r="H348">
        <f ca="1">IF(G348=-888,"",IF(G348=-999,Settings!$G$4,IF(AND($AA$6="Excluded",G348&gt;=Settings!$G$2),"",G348)))</f>
        <v>21</v>
      </c>
      <c r="I348">
        <f ca="1">IF(OR(G348=-999,G348=-888,AND($AA$6="Excluded",G348&gt;=Settings!$G$2)),"",G348)</f>
        <v>21</v>
      </c>
      <c r="O348" s="46"/>
    </row>
    <row r="349" spans="1:15" x14ac:dyDescent="0.2">
      <c r="A349" s="1">
        <v>344</v>
      </c>
      <c r="B349" t="str">
        <f>IF(ISERROR(MATCH(TRIM('Data Table'!D346),Settings!$G$15:$G$20,0)),TRIM('Data Table'!D346),LOOKUP(TRIM('Data Table'!D346),Settings!$G$15:$G$20,Settings!$H$15:$H$20))</f>
        <v>Catawba</v>
      </c>
      <c r="C349" t="str">
        <f>IF('Data Table'!F346="","SS",IF('Data Table'!F346="SF","SD",TRIM('Data Table'!F346)))</f>
        <v>SD</v>
      </c>
      <c r="D349" s="106">
        <f ca="1">IF(ISBLANK(OFFSET('Data Table'!$A344,2,Settings!$G$5-1)),"",OFFSET('Data Table'!$A344,2,Settings!$G$5-1))</f>
        <v>1.9</v>
      </c>
      <c r="E349" s="106" t="str">
        <f ca="1">IF(ISBLANK(OFFSET('Data Table'!$A344,2,Settings!$G$5)),"",OFFSET('Data Table'!$A344,2,Settings!$G$5))</f>
        <v/>
      </c>
      <c r="F349" s="143" t="str">
        <f ca="1">IF(ISBLANK(OFFSET('Data Table'!$A344,2,Settings!$G$5+1)),"",OFFSET('Data Table'!$A344,2,Settings!$G$5+1))</f>
        <v/>
      </c>
      <c r="G349">
        <f t="shared" ca="1" si="5"/>
        <v>1.9</v>
      </c>
      <c r="H349">
        <f ca="1">IF(G349=-888,"",IF(G349=-999,Settings!$G$4,IF(AND($AA$6="Excluded",G349&gt;=Settings!$G$2),"",G349)))</f>
        <v>1.9</v>
      </c>
      <c r="I349">
        <f ca="1">IF(OR(G349=-999,G349=-888,AND($AA$6="Excluded",G349&gt;=Settings!$G$2)),"",G349)</f>
        <v>1.9</v>
      </c>
      <c r="O349" s="46"/>
    </row>
    <row r="350" spans="1:15" x14ac:dyDescent="0.2">
      <c r="A350" s="1">
        <v>345</v>
      </c>
      <c r="B350" t="str">
        <f>IF(ISERROR(MATCH(TRIM('Data Table'!D347),Settings!$G$15:$G$20,0)),TRIM('Data Table'!D347),LOOKUP(TRIM('Data Table'!D347),Settings!$G$15:$G$20,Settings!$H$15:$H$20))</f>
        <v>Cabarrus</v>
      </c>
      <c r="C350" t="str">
        <f>IF('Data Table'!F347="","SS",IF('Data Table'!F347="SF","SD",TRIM('Data Table'!F347)))</f>
        <v>SD</v>
      </c>
      <c r="D350" s="106" t="str">
        <f ca="1">IF(ISBLANK(OFFSET('Data Table'!$A345,2,Settings!$G$5-1)),"",OFFSET('Data Table'!$A345,2,Settings!$G$5-1))</f>
        <v/>
      </c>
      <c r="E350" s="106" t="str">
        <f ca="1">IF(ISBLANK(OFFSET('Data Table'!$A345,2,Settings!$G$5)),"",OFFSET('Data Table'!$A345,2,Settings!$G$5))</f>
        <v/>
      </c>
      <c r="F350" s="143">
        <f ca="1">IF(ISBLANK(OFFSET('Data Table'!$A345,2,Settings!$G$5+1)),"",OFFSET('Data Table'!$A345,2,Settings!$G$5+1))</f>
        <v>2</v>
      </c>
      <c r="G350">
        <f t="shared" ca="1" si="5"/>
        <v>2</v>
      </c>
      <c r="H350">
        <f ca="1">IF(G350=-888,"",IF(G350=-999,Settings!$G$4,IF(AND($AA$6="Excluded",G350&gt;=Settings!$G$2),"",G350)))</f>
        <v>2</v>
      </c>
      <c r="I350">
        <f ca="1">IF(OR(G350=-999,G350=-888,AND($AA$6="Excluded",G350&gt;=Settings!$G$2)),"",G350)</f>
        <v>2</v>
      </c>
      <c r="O350" s="46"/>
    </row>
    <row r="351" spans="1:15" x14ac:dyDescent="0.2">
      <c r="A351" s="1">
        <v>346</v>
      </c>
      <c r="B351" t="str">
        <f>IF(ISERROR(MATCH(TRIM('Data Table'!D348),Settings!$G$15:$G$20,0)),TRIM('Data Table'!D348),LOOKUP(TRIM('Data Table'!D348),Settings!$G$15:$G$20,Settings!$H$15:$H$20))</f>
        <v>Cabarrus</v>
      </c>
      <c r="C351" t="str">
        <f>IF('Data Table'!F348="","SS",IF('Data Table'!F348="SF","SD",TRIM('Data Table'!F348)))</f>
        <v>SS</v>
      </c>
      <c r="D351" s="106">
        <f ca="1">IF(ISBLANK(OFFSET('Data Table'!$A346,2,Settings!$G$5-1)),"",OFFSET('Data Table'!$A346,2,Settings!$G$5-1))</f>
        <v>10</v>
      </c>
      <c r="E351" s="106" t="str">
        <f ca="1">IF(ISBLANK(OFFSET('Data Table'!$A346,2,Settings!$G$5)),"",OFFSET('Data Table'!$A346,2,Settings!$G$5))</f>
        <v/>
      </c>
      <c r="F351" s="143" t="str">
        <f ca="1">IF(ISBLANK(OFFSET('Data Table'!$A346,2,Settings!$G$5+1)),"",OFFSET('Data Table'!$A346,2,Settings!$G$5+1))</f>
        <v/>
      </c>
      <c r="G351">
        <f t="shared" ca="1" si="5"/>
        <v>10</v>
      </c>
      <c r="H351">
        <f ca="1">IF(G351=-888,"",IF(G351=-999,Settings!$G$4,IF(AND($AA$6="Excluded",G351&gt;=Settings!$G$2),"",G351)))</f>
        <v>10</v>
      </c>
      <c r="I351">
        <f ca="1">IF(OR(G351=-999,G351=-888,AND($AA$6="Excluded",G351&gt;=Settings!$G$2)),"",G351)</f>
        <v>10</v>
      </c>
      <c r="O351" s="46"/>
    </row>
    <row r="352" spans="1:15" x14ac:dyDescent="0.2">
      <c r="A352" s="1">
        <v>347</v>
      </c>
      <c r="B352" t="str">
        <f>IF(ISERROR(MATCH(TRIM('Data Table'!D349),Settings!$G$15:$G$20,0)),TRIM('Data Table'!D349),LOOKUP(TRIM('Data Table'!D349),Settings!$G$15:$G$20,Settings!$H$15:$H$20))</f>
        <v>Chowan</v>
      </c>
      <c r="C352" t="str">
        <f>IF('Data Table'!F349="","SS",IF('Data Table'!F349="SF","SD",TRIM('Data Table'!F349)))</f>
        <v>SS</v>
      </c>
      <c r="D352" s="106">
        <f ca="1">IF(ISBLANK(OFFSET('Data Table'!$A347,2,Settings!$G$5-1)),"",OFFSET('Data Table'!$A347,2,Settings!$G$5-1))</f>
        <v>34</v>
      </c>
      <c r="E352" s="106" t="str">
        <f ca="1">IF(ISBLANK(OFFSET('Data Table'!$A347,2,Settings!$G$5)),"",OFFSET('Data Table'!$A347,2,Settings!$G$5))</f>
        <v/>
      </c>
      <c r="F352" s="143" t="str">
        <f ca="1">IF(ISBLANK(OFFSET('Data Table'!$A347,2,Settings!$G$5+1)),"",OFFSET('Data Table'!$A347,2,Settings!$G$5+1))</f>
        <v/>
      </c>
      <c r="G352">
        <f t="shared" ca="1" si="5"/>
        <v>34</v>
      </c>
      <c r="H352">
        <f ca="1">IF(G352=-888,"",IF(G352=-999,Settings!$G$4,IF(AND($AA$6="Excluded",G352&gt;=Settings!$G$2),"",G352)))</f>
        <v>34</v>
      </c>
      <c r="I352">
        <f ca="1">IF(OR(G352=-999,G352=-888,AND($AA$6="Excluded",G352&gt;=Settings!$G$2)),"",G352)</f>
        <v>34</v>
      </c>
      <c r="O352" s="46"/>
    </row>
    <row r="353" spans="1:15" x14ac:dyDescent="0.2">
      <c r="A353" s="1">
        <v>348</v>
      </c>
      <c r="B353" t="str">
        <f>IF(ISERROR(MATCH(TRIM('Data Table'!D350),Settings!$G$15:$G$20,0)),TRIM('Data Table'!D350),LOOKUP(TRIM('Data Table'!D350),Settings!$G$15:$G$20,Settings!$H$15:$H$20))</f>
        <v>Rowan</v>
      </c>
      <c r="C353" t="str">
        <f>IF('Data Table'!F350="","SS",IF('Data Table'!F350="SF","SD",TRIM('Data Table'!F350)))</f>
        <v>SS</v>
      </c>
      <c r="D353" s="106" t="str">
        <f ca="1">IF(ISBLANK(OFFSET('Data Table'!$A348,2,Settings!$G$5-1)),"",OFFSET('Data Table'!$A348,2,Settings!$G$5-1))</f>
        <v/>
      </c>
      <c r="E353" s="106">
        <f ca="1">IF(ISBLANK(OFFSET('Data Table'!$A348,2,Settings!$G$5)),"",OFFSET('Data Table'!$A348,2,Settings!$G$5))</f>
        <v>3.8879999999999999</v>
      </c>
      <c r="F353" s="143" t="str">
        <f ca="1">IF(ISBLANK(OFFSET('Data Table'!$A348,2,Settings!$G$5+1)),"",OFFSET('Data Table'!$A348,2,Settings!$G$5+1))</f>
        <v/>
      </c>
      <c r="G353">
        <f t="shared" ca="1" si="5"/>
        <v>3.8879999999999999</v>
      </c>
      <c r="H353">
        <f ca="1">IF(G353=-888,"",IF(G353=-999,Settings!$G$4,IF(AND($AA$6="Excluded",G353&gt;=Settings!$G$2),"",G353)))</f>
        <v>3.8879999999999999</v>
      </c>
      <c r="I353">
        <f ca="1">IF(OR(G353=-999,G353=-888,AND($AA$6="Excluded",G353&gt;=Settings!$G$2)),"",G353)</f>
        <v>3.8879999999999999</v>
      </c>
      <c r="O353" s="46"/>
    </row>
    <row r="354" spans="1:15" x14ac:dyDescent="0.2">
      <c r="A354" s="1">
        <v>349</v>
      </c>
      <c r="B354" t="str">
        <f>IF(ISERROR(MATCH(TRIM('Data Table'!D351),Settings!$G$15:$G$20,0)),TRIM('Data Table'!D351),LOOKUP(TRIM('Data Table'!D351),Settings!$G$15:$G$20,Settings!$H$15:$H$20))</f>
        <v>Granville</v>
      </c>
      <c r="C354" t="str">
        <f>IF('Data Table'!F351="","SS",IF('Data Table'!F351="SF","SD",TRIM('Data Table'!F351)))</f>
        <v>SS</v>
      </c>
      <c r="D354" s="106" t="str">
        <f ca="1">IF(ISBLANK(OFFSET('Data Table'!$A349,2,Settings!$G$5-1)),"",OFFSET('Data Table'!$A349,2,Settings!$G$5-1))</f>
        <v>#</v>
      </c>
      <c r="E354" s="106" t="str">
        <f ca="1">IF(ISBLANK(OFFSET('Data Table'!$A349,2,Settings!$G$5)),"",OFFSET('Data Table'!$A349,2,Settings!$G$5))</f>
        <v/>
      </c>
      <c r="F354" s="143" t="str">
        <f ca="1">IF(ISBLANK(OFFSET('Data Table'!$A349,2,Settings!$G$5+1)),"",OFFSET('Data Table'!$A349,2,Settings!$G$5+1))</f>
        <v/>
      </c>
      <c r="G354">
        <f t="shared" ca="1" si="5"/>
        <v>-999</v>
      </c>
      <c r="H354">
        <f ca="1">IF(G354=-888,"",IF(G354=-999,Settings!$G$4,IF(AND($AA$6="Excluded",G354&gt;=Settings!$G$2),"",G354)))</f>
        <v>5.0000000000000001E-3</v>
      </c>
      <c r="I354" t="str">
        <f ca="1">IF(OR(G354=-999,G354=-888,AND($AA$6="Excluded",G354&gt;=Settings!$G$2)),"",G354)</f>
        <v/>
      </c>
      <c r="O354" s="46"/>
    </row>
    <row r="355" spans="1:15" x14ac:dyDescent="0.2">
      <c r="A355" s="1">
        <v>350</v>
      </c>
      <c r="B355" t="str">
        <f>IF(ISERROR(MATCH(TRIM('Data Table'!D352),Settings!$G$15:$G$20,0)),TRIM('Data Table'!D352),LOOKUP(TRIM('Data Table'!D352),Settings!$G$15:$G$20,Settings!$H$15:$H$20))</f>
        <v>Granville</v>
      </c>
      <c r="C355" t="str">
        <f>IF('Data Table'!F352="","SS",IF('Data Table'!F352="SF","SD",TRIM('Data Table'!F352)))</f>
        <v>SS</v>
      </c>
      <c r="D355" s="106">
        <f ca="1">IF(ISBLANK(OFFSET('Data Table'!$A350,2,Settings!$G$5-1)),"",OFFSET('Data Table'!$A350,2,Settings!$G$5-1))</f>
        <v>6.16</v>
      </c>
      <c r="E355" s="106" t="str">
        <f ca="1">IF(ISBLANK(OFFSET('Data Table'!$A350,2,Settings!$G$5)),"",OFFSET('Data Table'!$A350,2,Settings!$G$5))</f>
        <v/>
      </c>
      <c r="F355" s="143" t="str">
        <f ca="1">IF(ISBLANK(OFFSET('Data Table'!$A350,2,Settings!$G$5+1)),"",OFFSET('Data Table'!$A350,2,Settings!$G$5+1))</f>
        <v/>
      </c>
      <c r="G355">
        <f t="shared" ca="1" si="5"/>
        <v>6.16</v>
      </c>
      <c r="H355">
        <f ca="1">IF(G355=-888,"",IF(G355=-999,Settings!$G$4,IF(AND($AA$6="Excluded",G355&gt;=Settings!$G$2),"",G355)))</f>
        <v>6.16</v>
      </c>
      <c r="I355">
        <f ca="1">IF(OR(G355=-999,G355=-888,AND($AA$6="Excluded",G355&gt;=Settings!$G$2)),"",G355)</f>
        <v>6.16</v>
      </c>
      <c r="O355" s="46"/>
    </row>
    <row r="356" spans="1:15" x14ac:dyDescent="0.2">
      <c r="A356" s="1">
        <v>351</v>
      </c>
      <c r="B356" t="str">
        <f>IF(ISERROR(MATCH(TRIM('Data Table'!D353),Settings!$G$15:$G$20,0)),TRIM('Data Table'!D353),LOOKUP(TRIM('Data Table'!D353),Settings!$G$15:$G$20,Settings!$H$15:$H$20))</f>
        <v>Granville</v>
      </c>
      <c r="C356" t="str">
        <f>IF('Data Table'!F353="","SS",IF('Data Table'!F353="SF","SD",TRIM('Data Table'!F353)))</f>
        <v>SS</v>
      </c>
      <c r="D356" s="106">
        <f ca="1">IF(ISBLANK(OFFSET('Data Table'!$A351,2,Settings!$G$5-1)),"",OFFSET('Data Table'!$A351,2,Settings!$G$5-1))</f>
        <v>7.9</v>
      </c>
      <c r="E356" s="106" t="str">
        <f ca="1">IF(ISBLANK(OFFSET('Data Table'!$A351,2,Settings!$G$5)),"",OFFSET('Data Table'!$A351,2,Settings!$G$5))</f>
        <v/>
      </c>
      <c r="F356" s="143" t="str">
        <f ca="1">IF(ISBLANK(OFFSET('Data Table'!$A351,2,Settings!$G$5+1)),"",OFFSET('Data Table'!$A351,2,Settings!$G$5+1))</f>
        <v/>
      </c>
      <c r="G356">
        <f t="shared" ca="1" si="5"/>
        <v>7.9</v>
      </c>
      <c r="H356">
        <f ca="1">IF(G356=-888,"",IF(G356=-999,Settings!$G$4,IF(AND($AA$6="Excluded",G356&gt;=Settings!$G$2),"",G356)))</f>
        <v>7.9</v>
      </c>
      <c r="I356">
        <f ca="1">IF(OR(G356=-999,G356=-888,AND($AA$6="Excluded",G356&gt;=Settings!$G$2)),"",G356)</f>
        <v>7.9</v>
      </c>
      <c r="O356" s="46"/>
    </row>
    <row r="357" spans="1:15" x14ac:dyDescent="0.2">
      <c r="A357" s="1">
        <v>352</v>
      </c>
      <c r="B357" t="str">
        <f>IF(ISERROR(MATCH(TRIM('Data Table'!D354),Settings!$G$15:$G$20,0)),TRIM('Data Table'!D354),LOOKUP(TRIM('Data Table'!D354),Settings!$G$15:$G$20,Settings!$H$15:$H$20))</f>
        <v>Granville</v>
      </c>
      <c r="C357" t="str">
        <f>IF('Data Table'!F354="","SS",IF('Data Table'!F354="SF","SD",TRIM('Data Table'!F354)))</f>
        <v>SS</v>
      </c>
      <c r="D357" s="106" t="str">
        <f ca="1">IF(ISBLANK(OFFSET('Data Table'!$A352,2,Settings!$G$5-1)),"",OFFSET('Data Table'!$A352,2,Settings!$G$5-1))</f>
        <v>#</v>
      </c>
      <c r="E357" s="106" t="str">
        <f ca="1">IF(ISBLANK(OFFSET('Data Table'!$A352,2,Settings!$G$5)),"",OFFSET('Data Table'!$A352,2,Settings!$G$5))</f>
        <v/>
      </c>
      <c r="F357" s="143" t="str">
        <f ca="1">IF(ISBLANK(OFFSET('Data Table'!$A352,2,Settings!$G$5+1)),"",OFFSET('Data Table'!$A352,2,Settings!$G$5+1))</f>
        <v/>
      </c>
      <c r="G357">
        <f t="shared" ca="1" si="5"/>
        <v>-999</v>
      </c>
      <c r="H357">
        <f ca="1">IF(G357=-888,"",IF(G357=-999,Settings!$G$4,IF(AND($AA$6="Excluded",G357&gt;=Settings!$G$2),"",G357)))</f>
        <v>5.0000000000000001E-3</v>
      </c>
      <c r="I357" t="str">
        <f ca="1">IF(OR(G357=-999,G357=-888,AND($AA$6="Excluded",G357&gt;=Settings!$G$2)),"",G357)</f>
        <v/>
      </c>
      <c r="O357" s="46"/>
    </row>
    <row r="358" spans="1:15" x14ac:dyDescent="0.2">
      <c r="A358" s="1">
        <v>353</v>
      </c>
      <c r="B358" t="str">
        <f>IF(ISERROR(MATCH(TRIM('Data Table'!D355),Settings!$G$15:$G$20,0)),TRIM('Data Table'!D355),LOOKUP(TRIM('Data Table'!D355),Settings!$G$15:$G$20,Settings!$H$15:$H$20))</f>
        <v>Granville</v>
      </c>
      <c r="C358" t="str">
        <f>IF('Data Table'!F355="","SS",IF('Data Table'!F355="SF","SD",TRIM('Data Table'!F355)))</f>
        <v>SS</v>
      </c>
      <c r="D358" s="106">
        <f ca="1">IF(ISBLANK(OFFSET('Data Table'!$A353,2,Settings!$G$5-1)),"",OFFSET('Data Table'!$A353,2,Settings!$G$5-1))</f>
        <v>5.6</v>
      </c>
      <c r="E358" s="106" t="str">
        <f ca="1">IF(ISBLANK(OFFSET('Data Table'!$A353,2,Settings!$G$5)),"",OFFSET('Data Table'!$A353,2,Settings!$G$5))</f>
        <v/>
      </c>
      <c r="F358" s="143" t="str">
        <f ca="1">IF(ISBLANK(OFFSET('Data Table'!$A353,2,Settings!$G$5+1)),"",OFFSET('Data Table'!$A353,2,Settings!$G$5+1))</f>
        <v/>
      </c>
      <c r="G358">
        <f t="shared" ca="1" si="5"/>
        <v>5.6</v>
      </c>
      <c r="H358">
        <f ca="1">IF(G358=-888,"",IF(G358=-999,Settings!$G$4,IF(AND($AA$6="Excluded",G358&gt;=Settings!$G$2),"",G358)))</f>
        <v>5.6</v>
      </c>
      <c r="I358">
        <f ca="1">IF(OR(G358=-999,G358=-888,AND($AA$6="Excluded",G358&gt;=Settings!$G$2)),"",G358)</f>
        <v>5.6</v>
      </c>
      <c r="O358" s="46"/>
    </row>
    <row r="359" spans="1:15" x14ac:dyDescent="0.2">
      <c r="A359" s="1">
        <v>354</v>
      </c>
      <c r="B359" t="str">
        <f>IF(ISERROR(MATCH(TRIM('Data Table'!D356),Settings!$G$15:$G$20,0)),TRIM('Data Table'!D356),LOOKUP(TRIM('Data Table'!D356),Settings!$G$15:$G$20,Settings!$H$15:$H$20))</f>
        <v>Madison</v>
      </c>
      <c r="C359" t="str">
        <f>IF('Data Table'!F356="","SS",IF('Data Table'!F356="SF","SD",TRIM('Data Table'!F356)))</f>
        <v>SD</v>
      </c>
      <c r="D359" s="106" t="str">
        <f ca="1">IF(ISBLANK(OFFSET('Data Table'!$A354,2,Settings!$G$5-1)),"",OFFSET('Data Table'!$A354,2,Settings!$G$5-1))</f>
        <v/>
      </c>
      <c r="E359" s="106" t="str">
        <f ca="1">IF(ISBLANK(OFFSET('Data Table'!$A354,2,Settings!$G$5)),"",OFFSET('Data Table'!$A354,2,Settings!$G$5))</f>
        <v/>
      </c>
      <c r="F359" s="143">
        <f ca="1">IF(ISBLANK(OFFSET('Data Table'!$A354,2,Settings!$G$5+1)),"",OFFSET('Data Table'!$A354,2,Settings!$G$5+1))</f>
        <v>20</v>
      </c>
      <c r="G359">
        <f t="shared" ca="1" si="5"/>
        <v>20</v>
      </c>
      <c r="H359">
        <f ca="1">IF(G359=-888,"",IF(G359=-999,Settings!$G$4,IF(AND($AA$6="Excluded",G359&gt;=Settings!$G$2),"",G359)))</f>
        <v>20</v>
      </c>
      <c r="I359">
        <f ca="1">IF(OR(G359=-999,G359=-888,AND($AA$6="Excluded",G359&gt;=Settings!$G$2)),"",G359)</f>
        <v>20</v>
      </c>
      <c r="O359" s="46"/>
    </row>
    <row r="360" spans="1:15" x14ac:dyDescent="0.2">
      <c r="A360" s="1">
        <v>355</v>
      </c>
      <c r="B360" t="str">
        <f>IF(ISERROR(MATCH(TRIM('Data Table'!D357),Settings!$G$15:$G$20,0)),TRIM('Data Table'!D357),LOOKUP(TRIM('Data Table'!D357),Settings!$G$15:$G$20,Settings!$H$15:$H$20))</f>
        <v>Madison</v>
      </c>
      <c r="C360" t="str">
        <f>IF('Data Table'!F357="","SS",IF('Data Table'!F357="SF","SD",TRIM('Data Table'!F357)))</f>
        <v>SS</v>
      </c>
      <c r="D360" s="106">
        <f ca="1">IF(ISBLANK(OFFSET('Data Table'!$A355,2,Settings!$G$5-1)),"",OFFSET('Data Table'!$A355,2,Settings!$G$5-1))</f>
        <v>15.5</v>
      </c>
      <c r="E360" s="106" t="str">
        <f ca="1">IF(ISBLANK(OFFSET('Data Table'!$A355,2,Settings!$G$5)),"",OFFSET('Data Table'!$A355,2,Settings!$G$5))</f>
        <v/>
      </c>
      <c r="F360" s="143" t="str">
        <f ca="1">IF(ISBLANK(OFFSET('Data Table'!$A355,2,Settings!$G$5+1)),"",OFFSET('Data Table'!$A355,2,Settings!$G$5+1))</f>
        <v/>
      </c>
      <c r="G360">
        <f t="shared" ca="1" si="5"/>
        <v>15.5</v>
      </c>
      <c r="H360">
        <f ca="1">IF(G360=-888,"",IF(G360=-999,Settings!$G$4,IF(AND($AA$6="Excluded",G360&gt;=Settings!$G$2),"",G360)))</f>
        <v>15.5</v>
      </c>
      <c r="I360">
        <f ca="1">IF(OR(G360=-999,G360=-888,AND($AA$6="Excluded",G360&gt;=Settings!$G$2)),"",G360)</f>
        <v>15.5</v>
      </c>
      <c r="O360" s="46"/>
    </row>
    <row r="361" spans="1:15" x14ac:dyDescent="0.2">
      <c r="A361" s="1">
        <v>356</v>
      </c>
      <c r="B361" t="str">
        <f>IF(ISERROR(MATCH(TRIM('Data Table'!D358),Settings!$G$15:$G$20,0)),TRIM('Data Table'!D358),LOOKUP(TRIM('Data Table'!D358),Settings!$G$15:$G$20,Settings!$H$15:$H$20))</f>
        <v>Brunswick</v>
      </c>
      <c r="C361" t="str">
        <f>IF('Data Table'!F358="","SS",IF('Data Table'!F358="SF","SD",TRIM('Data Table'!F358)))</f>
        <v>SS</v>
      </c>
      <c r="D361" s="106">
        <f ca="1">IF(ISBLANK(OFFSET('Data Table'!$A356,2,Settings!$G$5-1)),"",OFFSET('Data Table'!$A356,2,Settings!$G$5-1))</f>
        <v>1</v>
      </c>
      <c r="E361" s="106" t="str">
        <f ca="1">IF(ISBLANK(OFFSET('Data Table'!$A356,2,Settings!$G$5)),"",OFFSET('Data Table'!$A356,2,Settings!$G$5))</f>
        <v/>
      </c>
      <c r="F361" s="143" t="str">
        <f ca="1">IF(ISBLANK(OFFSET('Data Table'!$A356,2,Settings!$G$5+1)),"",OFFSET('Data Table'!$A356,2,Settings!$G$5+1))</f>
        <v/>
      </c>
      <c r="G361">
        <f t="shared" ca="1" si="5"/>
        <v>1</v>
      </c>
      <c r="H361">
        <f ca="1">IF(G361=-888,"",IF(G361=-999,Settings!$G$4,IF(AND($AA$6="Excluded",G361&gt;=Settings!$G$2),"",G361)))</f>
        <v>1</v>
      </c>
      <c r="I361">
        <f ca="1">IF(OR(G361=-999,G361=-888,AND($AA$6="Excluded",G361&gt;=Settings!$G$2)),"",G361)</f>
        <v>1</v>
      </c>
      <c r="O361" s="46"/>
    </row>
    <row r="362" spans="1:15" x14ac:dyDescent="0.2">
      <c r="A362" s="1">
        <v>357</v>
      </c>
      <c r="B362" t="str">
        <f>IF(ISERROR(MATCH(TRIM('Data Table'!D359),Settings!$G$15:$G$20,0)),TRIM('Data Table'!D359),LOOKUP(TRIM('Data Table'!D359),Settings!$G$15:$G$20,Settings!$H$15:$H$20))</f>
        <v>Brunswick</v>
      </c>
      <c r="C362" t="str">
        <f>IF('Data Table'!F359="","SS",IF('Data Table'!F359="SF","SD",TRIM('Data Table'!F359)))</f>
        <v>SB</v>
      </c>
      <c r="D362" s="106">
        <f ca="1">IF(ISBLANK(OFFSET('Data Table'!$A357,2,Settings!$G$5-1)),"",OFFSET('Data Table'!$A357,2,Settings!$G$5-1))</f>
        <v>3.9</v>
      </c>
      <c r="E362" s="106" t="str">
        <f ca="1">IF(ISBLANK(OFFSET('Data Table'!$A357,2,Settings!$G$5)),"",OFFSET('Data Table'!$A357,2,Settings!$G$5))</f>
        <v/>
      </c>
      <c r="F362" s="143" t="str">
        <f ca="1">IF(ISBLANK(OFFSET('Data Table'!$A357,2,Settings!$G$5+1)),"",OFFSET('Data Table'!$A357,2,Settings!$G$5+1))</f>
        <v/>
      </c>
      <c r="G362">
        <f t="shared" ca="1" si="5"/>
        <v>3.9</v>
      </c>
      <c r="H362">
        <f ca="1">IF(G362=-888,"",IF(G362=-999,Settings!$G$4,IF(AND($AA$6="Excluded",G362&gt;=Settings!$G$2),"",G362)))</f>
        <v>3.9</v>
      </c>
      <c r="I362">
        <f ca="1">IF(OR(G362=-999,G362=-888,AND($AA$6="Excluded",G362&gt;=Settings!$G$2)),"",G362)</f>
        <v>3.9</v>
      </c>
      <c r="O362" s="46"/>
    </row>
    <row r="363" spans="1:15" x14ac:dyDescent="0.2">
      <c r="A363" s="1">
        <v>358</v>
      </c>
      <c r="B363" t="str">
        <f>IF(ISERROR(MATCH(TRIM('Data Table'!D360),Settings!$G$15:$G$20,0)),TRIM('Data Table'!D360),LOOKUP(TRIM('Data Table'!D360),Settings!$G$15:$G$20,Settings!$H$15:$H$20))</f>
        <v>Brunswick</v>
      </c>
      <c r="C363" t="str">
        <f>IF('Data Table'!F360="","SS",IF('Data Table'!F360="SF","SD",TRIM('Data Table'!F360)))</f>
        <v>SD</v>
      </c>
      <c r="D363" s="106">
        <f ca="1">IF(ISBLANK(OFFSET('Data Table'!$A358,2,Settings!$G$5-1)),"",OFFSET('Data Table'!$A358,2,Settings!$G$5-1))</f>
        <v>25</v>
      </c>
      <c r="E363" s="106" t="str">
        <f ca="1">IF(ISBLANK(OFFSET('Data Table'!$A358,2,Settings!$G$5)),"",OFFSET('Data Table'!$A358,2,Settings!$G$5))</f>
        <v/>
      </c>
      <c r="F363" s="143" t="str">
        <f ca="1">IF(ISBLANK(OFFSET('Data Table'!$A358,2,Settings!$G$5+1)),"",OFFSET('Data Table'!$A358,2,Settings!$G$5+1))</f>
        <v/>
      </c>
      <c r="G363">
        <f t="shared" ca="1" si="5"/>
        <v>25</v>
      </c>
      <c r="H363">
        <f ca="1">IF(G363=-888,"",IF(G363=-999,Settings!$G$4,IF(AND($AA$6="Excluded",G363&gt;=Settings!$G$2),"",G363)))</f>
        <v>25</v>
      </c>
      <c r="I363">
        <f ca="1">IF(OR(G363=-999,G363=-888,AND($AA$6="Excluded",G363&gt;=Settings!$G$2)),"",G363)</f>
        <v>25</v>
      </c>
      <c r="O363" s="46"/>
    </row>
    <row r="364" spans="1:15" x14ac:dyDescent="0.2">
      <c r="A364" s="1">
        <v>359</v>
      </c>
      <c r="B364" t="str">
        <f>IF(ISERROR(MATCH(TRIM('Data Table'!D361),Settings!$G$15:$G$20,0)),TRIM('Data Table'!D361),LOOKUP(TRIM('Data Table'!D361),Settings!$G$15:$G$20,Settings!$H$15:$H$20))</f>
        <v>Brunswick</v>
      </c>
      <c r="C364" t="str">
        <f>IF('Data Table'!F361="","SS",IF('Data Table'!F361="SF","SD",TRIM('Data Table'!F361)))</f>
        <v>SD</v>
      </c>
      <c r="D364" s="106">
        <f ca="1">IF(ISBLANK(OFFSET('Data Table'!$A359,2,Settings!$G$5-1)),"",OFFSET('Data Table'!$A359,2,Settings!$G$5-1))</f>
        <v>54</v>
      </c>
      <c r="E364" s="106" t="str">
        <f ca="1">IF(ISBLANK(OFFSET('Data Table'!$A359,2,Settings!$G$5)),"",OFFSET('Data Table'!$A359,2,Settings!$G$5))</f>
        <v/>
      </c>
      <c r="F364" s="143" t="str">
        <f ca="1">IF(ISBLANK(OFFSET('Data Table'!$A359,2,Settings!$G$5+1)),"",OFFSET('Data Table'!$A359,2,Settings!$G$5+1))</f>
        <v/>
      </c>
      <c r="G364">
        <f t="shared" ca="1" si="5"/>
        <v>54</v>
      </c>
      <c r="H364">
        <f ca="1">IF(G364=-888,"",IF(G364=-999,Settings!$G$4,IF(AND($AA$6="Excluded",G364&gt;=Settings!$G$2),"",G364)))</f>
        <v>54</v>
      </c>
      <c r="I364">
        <f ca="1">IF(OR(G364=-999,G364=-888,AND($AA$6="Excluded",G364&gt;=Settings!$G$2)),"",G364)</f>
        <v>54</v>
      </c>
      <c r="O364" s="46"/>
    </row>
    <row r="365" spans="1:15" x14ac:dyDescent="0.2">
      <c r="A365" s="1">
        <v>360</v>
      </c>
      <c r="B365" t="str">
        <f>IF(ISERROR(MATCH(TRIM('Data Table'!D362),Settings!$G$15:$G$20,0)),TRIM('Data Table'!D362),LOOKUP(TRIM('Data Table'!D362),Settings!$G$15:$G$20,Settings!$H$15:$H$20))</f>
        <v>Guilford</v>
      </c>
      <c r="C365" t="str">
        <f>IF('Data Table'!F362="","SS",IF('Data Table'!F362="SF","SD",TRIM('Data Table'!F362)))</f>
        <v>SS</v>
      </c>
      <c r="D365" s="106" t="str">
        <f ca="1">IF(ISBLANK(OFFSET('Data Table'!$A360,2,Settings!$G$5-1)),"",OFFSET('Data Table'!$A360,2,Settings!$G$5-1))</f>
        <v/>
      </c>
      <c r="E365" s="106" t="str">
        <f ca="1">IF(ISBLANK(OFFSET('Data Table'!$A360,2,Settings!$G$5)),"",OFFSET('Data Table'!$A360,2,Settings!$G$5))</f>
        <v/>
      </c>
      <c r="F365" s="143">
        <f ca="1">IF(ISBLANK(OFFSET('Data Table'!$A360,2,Settings!$G$5+1)),"",OFFSET('Data Table'!$A360,2,Settings!$G$5+1))</f>
        <v>2</v>
      </c>
      <c r="G365">
        <f t="shared" ca="1" si="5"/>
        <v>2</v>
      </c>
      <c r="H365">
        <f ca="1">IF(G365=-888,"",IF(G365=-999,Settings!$G$4,IF(AND($AA$6="Excluded",G365&gt;=Settings!$G$2),"",G365)))</f>
        <v>2</v>
      </c>
      <c r="I365">
        <f ca="1">IF(OR(G365=-999,G365=-888,AND($AA$6="Excluded",G365&gt;=Settings!$G$2)),"",G365)</f>
        <v>2</v>
      </c>
      <c r="O365" s="46"/>
    </row>
    <row r="366" spans="1:15" x14ac:dyDescent="0.2">
      <c r="A366" s="1">
        <v>361</v>
      </c>
      <c r="B366" t="str">
        <f>IF(ISERROR(MATCH(TRIM('Data Table'!D363),Settings!$G$15:$G$20,0)),TRIM('Data Table'!D363),LOOKUP(TRIM('Data Table'!D363),Settings!$G$15:$G$20,Settings!$H$15:$H$20))</f>
        <v>Mecklenburg</v>
      </c>
      <c r="C366" t="str">
        <f>IF('Data Table'!F363="","SS",IF('Data Table'!F363="SF","SD",TRIM('Data Table'!F363)))</f>
        <v>SS</v>
      </c>
      <c r="D366" s="106" t="str">
        <f ca="1">IF(ISBLANK(OFFSET('Data Table'!$A361,2,Settings!$G$5-1)),"",OFFSET('Data Table'!$A361,2,Settings!$G$5-1))</f>
        <v/>
      </c>
      <c r="E366" s="106">
        <f ca="1">IF(ISBLANK(OFFSET('Data Table'!$A361,2,Settings!$G$5)),"",OFFSET('Data Table'!$A361,2,Settings!$G$5))</f>
        <v>9.6479999999999997</v>
      </c>
      <c r="F366" s="143" t="str">
        <f ca="1">IF(ISBLANK(OFFSET('Data Table'!$A361,2,Settings!$G$5+1)),"",OFFSET('Data Table'!$A361,2,Settings!$G$5+1))</f>
        <v/>
      </c>
      <c r="G366">
        <f t="shared" ca="1" si="5"/>
        <v>9.6479999999999997</v>
      </c>
      <c r="H366">
        <f ca="1">IF(G366=-888,"",IF(G366=-999,Settings!$G$4,IF(AND($AA$6="Excluded",G366&gt;=Settings!$G$2),"",G366)))</f>
        <v>9.6479999999999997</v>
      </c>
      <c r="I366">
        <f ca="1">IF(OR(G366=-999,G366=-888,AND($AA$6="Excluded",G366&gt;=Settings!$G$2)),"",G366)</f>
        <v>9.6479999999999997</v>
      </c>
      <c r="O366" s="46"/>
    </row>
    <row r="367" spans="1:15" x14ac:dyDescent="0.2">
      <c r="A367" s="1">
        <v>362</v>
      </c>
      <c r="B367" t="str">
        <f>IF(ISERROR(MATCH(TRIM('Data Table'!D364),Settings!$G$15:$G$20,0)),TRIM('Data Table'!D364),LOOKUP(TRIM('Data Table'!D364),Settings!$G$15:$G$20,Settings!$H$15:$H$20))</f>
        <v>Mecklenburg</v>
      </c>
      <c r="C367" t="str">
        <f>IF('Data Table'!F364="","SS",IF('Data Table'!F364="SF","SD",TRIM('Data Table'!F364)))</f>
        <v>SB</v>
      </c>
      <c r="D367" s="106" t="str">
        <f ca="1">IF(ISBLANK(OFFSET('Data Table'!$A362,2,Settings!$G$5-1)),"",OFFSET('Data Table'!$A362,2,Settings!$G$5-1))</f>
        <v/>
      </c>
      <c r="E367" s="106">
        <f ca="1">IF(ISBLANK(OFFSET('Data Table'!$A362,2,Settings!$G$5)),"",OFFSET('Data Table'!$A362,2,Settings!$G$5))</f>
        <v>13.103999999999999</v>
      </c>
      <c r="F367" s="143" t="str">
        <f ca="1">IF(ISBLANK(OFFSET('Data Table'!$A362,2,Settings!$G$5+1)),"",OFFSET('Data Table'!$A362,2,Settings!$G$5+1))</f>
        <v/>
      </c>
      <c r="G367">
        <f t="shared" ca="1" si="5"/>
        <v>13.103999999999999</v>
      </c>
      <c r="H367">
        <f ca="1">IF(G367=-888,"",IF(G367=-999,Settings!$G$4,IF(AND($AA$6="Excluded",G367&gt;=Settings!$G$2),"",G367)))</f>
        <v>13.103999999999999</v>
      </c>
      <c r="I367">
        <f ca="1">IF(OR(G367=-999,G367=-888,AND($AA$6="Excluded",G367&gt;=Settings!$G$2)),"",G367)</f>
        <v>13.103999999999999</v>
      </c>
      <c r="O367" s="46"/>
    </row>
    <row r="368" spans="1:15" x14ac:dyDescent="0.2">
      <c r="A368" s="1">
        <v>363</v>
      </c>
      <c r="B368" t="str">
        <f>IF(ISERROR(MATCH(TRIM('Data Table'!D365),Settings!$G$15:$G$20,0)),TRIM('Data Table'!D365),LOOKUP(TRIM('Data Table'!D365),Settings!$G$15:$G$20,Settings!$H$15:$H$20))</f>
        <v>Mecklenburg</v>
      </c>
      <c r="C368" t="str">
        <f>IF('Data Table'!F365="","SS",IF('Data Table'!F365="SF","SD",TRIM('Data Table'!F365)))</f>
        <v>SB</v>
      </c>
      <c r="D368" s="106" t="str">
        <f ca="1">IF(ISBLANK(OFFSET('Data Table'!$A363,2,Settings!$G$5-1)),"",OFFSET('Data Table'!$A363,2,Settings!$G$5-1))</f>
        <v/>
      </c>
      <c r="E368" s="106">
        <f ca="1">IF(ISBLANK(OFFSET('Data Table'!$A363,2,Settings!$G$5)),"",OFFSET('Data Table'!$A363,2,Settings!$G$5))</f>
        <v>7.6319999999999997</v>
      </c>
      <c r="F368" s="143" t="str">
        <f ca="1">IF(ISBLANK(OFFSET('Data Table'!$A363,2,Settings!$G$5+1)),"",OFFSET('Data Table'!$A363,2,Settings!$G$5+1))</f>
        <v/>
      </c>
      <c r="G368">
        <f t="shared" ca="1" si="5"/>
        <v>7.6319999999999997</v>
      </c>
      <c r="H368">
        <f ca="1">IF(G368=-888,"",IF(G368=-999,Settings!$G$4,IF(AND($AA$6="Excluded",G368&gt;=Settings!$G$2),"",G368)))</f>
        <v>7.6319999999999997</v>
      </c>
      <c r="I368">
        <f ca="1">IF(OR(G368=-999,G368=-888,AND($AA$6="Excluded",G368&gt;=Settings!$G$2)),"",G368)</f>
        <v>7.6319999999999997</v>
      </c>
      <c r="O368" s="46"/>
    </row>
    <row r="369" spans="1:15" x14ac:dyDescent="0.2">
      <c r="A369" s="1">
        <v>364</v>
      </c>
      <c r="B369" t="str">
        <f>IF(ISERROR(MATCH(TRIM('Data Table'!D366),Settings!$G$15:$G$20,0)),TRIM('Data Table'!D366),LOOKUP(TRIM('Data Table'!D366),Settings!$G$15:$G$20,Settings!$H$15:$H$20))</f>
        <v>Mecklenburg</v>
      </c>
      <c r="C369" t="str">
        <f>IF('Data Table'!F366="","SS",IF('Data Table'!F366="SF","SD",TRIM('Data Table'!F366)))</f>
        <v>SS</v>
      </c>
      <c r="D369" s="106">
        <f ca="1">IF(ISBLANK(OFFSET('Data Table'!$A364,2,Settings!$G$5-1)),"",OFFSET('Data Table'!$A364,2,Settings!$G$5-1))</f>
        <v>140</v>
      </c>
      <c r="E369" s="106" t="str">
        <f ca="1">IF(ISBLANK(OFFSET('Data Table'!$A364,2,Settings!$G$5)),"",OFFSET('Data Table'!$A364,2,Settings!$G$5))</f>
        <v/>
      </c>
      <c r="F369" s="143" t="str">
        <f ca="1">IF(ISBLANK(OFFSET('Data Table'!$A364,2,Settings!$G$5+1)),"",OFFSET('Data Table'!$A364,2,Settings!$G$5+1))</f>
        <v/>
      </c>
      <c r="G369">
        <f t="shared" ca="1" si="5"/>
        <v>140</v>
      </c>
      <c r="H369">
        <f ca="1">IF(G369=-888,"",IF(G369=-999,Settings!$G$4,IF(AND($AA$6="Excluded",G369&gt;=Settings!$G$2),"",G369)))</f>
        <v>140</v>
      </c>
      <c r="I369">
        <f ca="1">IF(OR(G369=-999,G369=-888,AND($AA$6="Excluded",G369&gt;=Settings!$G$2)),"",G369)</f>
        <v>140</v>
      </c>
      <c r="O369" s="46"/>
    </row>
    <row r="370" spans="1:15" x14ac:dyDescent="0.2">
      <c r="A370" s="1">
        <v>365</v>
      </c>
      <c r="B370" t="str">
        <f>IF(ISERROR(MATCH(TRIM('Data Table'!D367),Settings!$G$15:$G$20,0)),TRIM('Data Table'!D367),LOOKUP(TRIM('Data Table'!D367),Settings!$G$15:$G$20,Settings!$H$15:$H$20))</f>
        <v>Mecklenburg</v>
      </c>
      <c r="C370" t="str">
        <f>IF('Data Table'!F367="","SS",IF('Data Table'!F367="SF","SD",TRIM('Data Table'!F367)))</f>
        <v>SB</v>
      </c>
      <c r="D370" s="106">
        <f ca="1">IF(ISBLANK(OFFSET('Data Table'!$A365,2,Settings!$G$5-1)),"",OFFSET('Data Table'!$A365,2,Settings!$G$5-1))</f>
        <v>9.3000000000000007</v>
      </c>
      <c r="E370" s="106" t="str">
        <f ca="1">IF(ISBLANK(OFFSET('Data Table'!$A365,2,Settings!$G$5)),"",OFFSET('Data Table'!$A365,2,Settings!$G$5))</f>
        <v/>
      </c>
      <c r="F370" s="143" t="str">
        <f ca="1">IF(ISBLANK(OFFSET('Data Table'!$A365,2,Settings!$G$5+1)),"",OFFSET('Data Table'!$A365,2,Settings!$G$5+1))</f>
        <v/>
      </c>
      <c r="G370">
        <f t="shared" ca="1" si="5"/>
        <v>9.3000000000000007</v>
      </c>
      <c r="H370">
        <f ca="1">IF(G370=-888,"",IF(G370=-999,Settings!$G$4,IF(AND($AA$6="Excluded",G370&gt;=Settings!$G$2),"",G370)))</f>
        <v>9.3000000000000007</v>
      </c>
      <c r="I370">
        <f ca="1">IF(OR(G370=-999,G370=-888,AND($AA$6="Excluded",G370&gt;=Settings!$G$2)),"",G370)</f>
        <v>9.3000000000000007</v>
      </c>
      <c r="O370" s="46"/>
    </row>
    <row r="371" spans="1:15" x14ac:dyDescent="0.2">
      <c r="A371" s="1">
        <v>366</v>
      </c>
      <c r="B371" t="str">
        <f>IF(ISERROR(MATCH(TRIM('Data Table'!D368),Settings!$G$15:$G$20,0)),TRIM('Data Table'!D368),LOOKUP(TRIM('Data Table'!D368),Settings!$G$15:$G$20,Settings!$H$15:$H$20))</f>
        <v>Catawba</v>
      </c>
      <c r="C371" t="str">
        <f>IF('Data Table'!F368="","SS",IF('Data Table'!F368="SF","SD",TRIM('Data Table'!F368)))</f>
        <v>SS</v>
      </c>
      <c r="D371" s="106" t="str">
        <f ca="1">IF(ISBLANK(OFFSET('Data Table'!$A366,2,Settings!$G$5-1)),"",OFFSET('Data Table'!$A366,2,Settings!$G$5-1))</f>
        <v/>
      </c>
      <c r="E371" s="106">
        <f ca="1">IF(ISBLANK(OFFSET('Data Table'!$A366,2,Settings!$G$5)),"",OFFSET('Data Table'!$A366,2,Settings!$G$5))</f>
        <v>23.04</v>
      </c>
      <c r="F371" s="143" t="str">
        <f ca="1">IF(ISBLANK(OFFSET('Data Table'!$A366,2,Settings!$G$5+1)),"",OFFSET('Data Table'!$A366,2,Settings!$G$5+1))</f>
        <v/>
      </c>
      <c r="G371">
        <f t="shared" ca="1" si="5"/>
        <v>23.04</v>
      </c>
      <c r="H371">
        <f ca="1">IF(G371=-888,"",IF(G371=-999,Settings!$G$4,IF(AND($AA$6="Excluded",G371&gt;=Settings!$G$2),"",G371)))</f>
        <v>23.04</v>
      </c>
      <c r="I371">
        <f ca="1">IF(OR(G371=-999,G371=-888,AND($AA$6="Excluded",G371&gt;=Settings!$G$2)),"",G371)</f>
        <v>23.04</v>
      </c>
      <c r="O371" s="46"/>
    </row>
    <row r="372" spans="1:15" x14ac:dyDescent="0.2">
      <c r="A372" s="1">
        <v>367</v>
      </c>
      <c r="B372" t="str">
        <f>IF(ISERROR(MATCH(TRIM('Data Table'!D369),Settings!$G$15:$G$20,0)),TRIM('Data Table'!D369),LOOKUP(TRIM('Data Table'!D369),Settings!$G$15:$G$20,Settings!$H$15:$H$20))</f>
        <v>Catawba</v>
      </c>
      <c r="C372" t="str">
        <f>IF('Data Table'!F369="","SS",IF('Data Table'!F369="SF","SD",TRIM('Data Table'!F369)))</f>
        <v>SB</v>
      </c>
      <c r="D372" s="106" t="str">
        <f ca="1">IF(ISBLANK(OFFSET('Data Table'!$A367,2,Settings!$G$5-1)),"",OFFSET('Data Table'!$A367,2,Settings!$G$5-1))</f>
        <v/>
      </c>
      <c r="E372" s="106">
        <f ca="1">IF(ISBLANK(OFFSET('Data Table'!$A367,2,Settings!$G$5)),"",OFFSET('Data Table'!$A367,2,Settings!$G$5))</f>
        <v>25.919999999999998</v>
      </c>
      <c r="F372" s="143" t="str">
        <f ca="1">IF(ISBLANK(OFFSET('Data Table'!$A367,2,Settings!$G$5+1)),"",OFFSET('Data Table'!$A367,2,Settings!$G$5+1))</f>
        <v/>
      </c>
      <c r="G372">
        <f t="shared" ca="1" si="5"/>
        <v>25.919999999999998</v>
      </c>
      <c r="H372">
        <f ca="1">IF(G372=-888,"",IF(G372=-999,Settings!$G$4,IF(AND($AA$6="Excluded",G372&gt;=Settings!$G$2),"",G372)))</f>
        <v>25.919999999999998</v>
      </c>
      <c r="I372">
        <f ca="1">IF(OR(G372=-999,G372=-888,AND($AA$6="Excluded",G372&gt;=Settings!$G$2)),"",G372)</f>
        <v>25.919999999999998</v>
      </c>
      <c r="O372" s="46"/>
    </row>
    <row r="373" spans="1:15" x14ac:dyDescent="0.2">
      <c r="A373" s="1">
        <v>368</v>
      </c>
      <c r="B373" t="str">
        <f>IF(ISERROR(MATCH(TRIM('Data Table'!D370),Settings!$G$15:$G$20,0)),TRIM('Data Table'!D370),LOOKUP(TRIM('Data Table'!D370),Settings!$G$15:$G$20,Settings!$H$15:$H$20))</f>
        <v>Catawba</v>
      </c>
      <c r="C373" t="str">
        <f>IF('Data Table'!F370="","SS",IF('Data Table'!F370="SF","SD",TRIM('Data Table'!F370)))</f>
        <v>SD</v>
      </c>
      <c r="D373" s="106" t="str">
        <f ca="1">IF(ISBLANK(OFFSET('Data Table'!$A368,2,Settings!$G$5-1)),"",OFFSET('Data Table'!$A368,2,Settings!$G$5-1))</f>
        <v/>
      </c>
      <c r="E373" s="106">
        <f ca="1">IF(ISBLANK(OFFSET('Data Table'!$A368,2,Settings!$G$5)),"",OFFSET('Data Table'!$A368,2,Settings!$G$5))</f>
        <v>63.36</v>
      </c>
      <c r="F373" s="143" t="str">
        <f ca="1">IF(ISBLANK(OFFSET('Data Table'!$A368,2,Settings!$G$5+1)),"",OFFSET('Data Table'!$A368,2,Settings!$G$5+1))</f>
        <v/>
      </c>
      <c r="G373">
        <f t="shared" ca="1" si="5"/>
        <v>63.36</v>
      </c>
      <c r="H373">
        <f ca="1">IF(G373=-888,"",IF(G373=-999,Settings!$G$4,IF(AND($AA$6="Excluded",G373&gt;=Settings!$G$2),"",G373)))</f>
        <v>63.36</v>
      </c>
      <c r="I373">
        <f ca="1">IF(OR(G373=-999,G373=-888,AND($AA$6="Excluded",G373&gt;=Settings!$G$2)),"",G373)</f>
        <v>63.36</v>
      </c>
      <c r="O373" s="46"/>
    </row>
    <row r="374" spans="1:15" x14ac:dyDescent="0.2">
      <c r="A374" s="1">
        <v>369</v>
      </c>
      <c r="B374" t="str">
        <f>IF(ISERROR(MATCH(TRIM('Data Table'!D371),Settings!$G$15:$G$20,0)),TRIM('Data Table'!D371),LOOKUP(TRIM('Data Table'!D371),Settings!$G$15:$G$20,Settings!$H$15:$H$20))</f>
        <v>Rutherford</v>
      </c>
      <c r="C374" t="str">
        <f>IF('Data Table'!F371="","SS",IF('Data Table'!F371="SF","SD",TRIM('Data Table'!F371)))</f>
        <v>SB</v>
      </c>
      <c r="D374" s="106">
        <f ca="1">IF(ISBLANK(OFFSET('Data Table'!$A369,2,Settings!$G$5-1)),"",OFFSET('Data Table'!$A369,2,Settings!$G$5-1))</f>
        <v>23</v>
      </c>
      <c r="E374" s="106" t="str">
        <f ca="1">IF(ISBLANK(OFFSET('Data Table'!$A369,2,Settings!$G$5)),"",OFFSET('Data Table'!$A369,2,Settings!$G$5))</f>
        <v/>
      </c>
      <c r="F374" s="143" t="str">
        <f ca="1">IF(ISBLANK(OFFSET('Data Table'!$A369,2,Settings!$G$5+1)),"",OFFSET('Data Table'!$A369,2,Settings!$G$5+1))</f>
        <v/>
      </c>
      <c r="G374">
        <f t="shared" ca="1" si="5"/>
        <v>23</v>
      </c>
      <c r="H374">
        <f ca="1">IF(G374=-888,"",IF(G374=-999,Settings!$G$4,IF(AND($AA$6="Excluded",G374&gt;=Settings!$G$2),"",G374)))</f>
        <v>23</v>
      </c>
      <c r="I374">
        <f ca="1">IF(OR(G374=-999,G374=-888,AND($AA$6="Excluded",G374&gt;=Settings!$G$2)),"",G374)</f>
        <v>23</v>
      </c>
      <c r="O374" s="46"/>
    </row>
    <row r="375" spans="1:15" x14ac:dyDescent="0.2">
      <c r="A375" s="1">
        <v>370</v>
      </c>
      <c r="B375" t="str">
        <f>IF(ISERROR(MATCH(TRIM('Data Table'!D372),Settings!$G$15:$G$20,0)),TRIM('Data Table'!D372),LOOKUP(TRIM('Data Table'!D372),Settings!$G$15:$G$20,Settings!$H$15:$H$20))</f>
        <v>Rutherford</v>
      </c>
      <c r="C375" t="str">
        <f>IF('Data Table'!F372="","SS",IF('Data Table'!F372="SF","SD",TRIM('Data Table'!F372)))</f>
        <v>SB</v>
      </c>
      <c r="D375" s="106">
        <f ca="1">IF(ISBLANK(OFFSET('Data Table'!$A370,2,Settings!$G$5-1)),"",OFFSET('Data Table'!$A370,2,Settings!$G$5-1))</f>
        <v>18</v>
      </c>
      <c r="E375" s="106" t="str">
        <f ca="1">IF(ISBLANK(OFFSET('Data Table'!$A370,2,Settings!$G$5)),"",OFFSET('Data Table'!$A370,2,Settings!$G$5))</f>
        <v/>
      </c>
      <c r="F375" s="143" t="str">
        <f ca="1">IF(ISBLANK(OFFSET('Data Table'!$A370,2,Settings!$G$5+1)),"",OFFSET('Data Table'!$A370,2,Settings!$G$5+1))</f>
        <v/>
      </c>
      <c r="G375">
        <f t="shared" ca="1" si="5"/>
        <v>18</v>
      </c>
      <c r="H375">
        <f ca="1">IF(G375=-888,"",IF(G375=-999,Settings!$G$4,IF(AND($AA$6="Excluded",G375&gt;=Settings!$G$2),"",G375)))</f>
        <v>18</v>
      </c>
      <c r="I375">
        <f ca="1">IF(OR(G375=-999,G375=-888,AND($AA$6="Excluded",G375&gt;=Settings!$G$2)),"",G375)</f>
        <v>18</v>
      </c>
      <c r="O375" s="46"/>
    </row>
    <row r="376" spans="1:15" x14ac:dyDescent="0.2">
      <c r="A376" s="1">
        <v>371</v>
      </c>
      <c r="B376" t="str">
        <f>IF(ISERROR(MATCH(TRIM('Data Table'!D373),Settings!$G$15:$G$20,0)),TRIM('Data Table'!D373),LOOKUP(TRIM('Data Table'!D373),Settings!$G$15:$G$20,Settings!$H$15:$H$20))</f>
        <v>Rutherford</v>
      </c>
      <c r="C376" t="str">
        <f>IF('Data Table'!F373="","SS",IF('Data Table'!F373="SF","SD",TRIM('Data Table'!F373)))</f>
        <v>SB</v>
      </c>
      <c r="D376" s="106">
        <f ca="1">IF(ISBLANK(OFFSET('Data Table'!$A371,2,Settings!$G$5-1)),"",OFFSET('Data Table'!$A371,2,Settings!$G$5-1))</f>
        <v>33</v>
      </c>
      <c r="E376" s="106" t="str">
        <f ca="1">IF(ISBLANK(OFFSET('Data Table'!$A371,2,Settings!$G$5)),"",OFFSET('Data Table'!$A371,2,Settings!$G$5))</f>
        <v/>
      </c>
      <c r="F376" s="143" t="str">
        <f ca="1">IF(ISBLANK(OFFSET('Data Table'!$A371,2,Settings!$G$5+1)),"",OFFSET('Data Table'!$A371,2,Settings!$G$5+1))</f>
        <v/>
      </c>
      <c r="G376">
        <f t="shared" ca="1" si="5"/>
        <v>33</v>
      </c>
      <c r="H376">
        <f ca="1">IF(G376=-888,"",IF(G376=-999,Settings!$G$4,IF(AND($AA$6="Excluded",G376&gt;=Settings!$G$2),"",G376)))</f>
        <v>33</v>
      </c>
      <c r="I376">
        <f ca="1">IF(OR(G376=-999,G376=-888,AND($AA$6="Excluded",G376&gt;=Settings!$G$2)),"",G376)</f>
        <v>33</v>
      </c>
      <c r="O376" s="46"/>
    </row>
    <row r="377" spans="1:15" x14ac:dyDescent="0.2">
      <c r="A377" s="1">
        <v>372</v>
      </c>
      <c r="B377" t="str">
        <f>IF(ISERROR(MATCH(TRIM('Data Table'!D374),Settings!$G$15:$G$20,0)),TRIM('Data Table'!D374),LOOKUP(TRIM('Data Table'!D374),Settings!$G$15:$G$20,Settings!$H$15:$H$20))</f>
        <v>Rutherford</v>
      </c>
      <c r="C377" t="str">
        <f>IF('Data Table'!F374="","SS",IF('Data Table'!F374="SF","SD",TRIM('Data Table'!F374)))</f>
        <v>SB</v>
      </c>
      <c r="D377" s="106">
        <f ca="1">IF(ISBLANK(OFFSET('Data Table'!$A372,2,Settings!$G$5-1)),"",OFFSET('Data Table'!$A372,2,Settings!$G$5-1))</f>
        <v>23</v>
      </c>
      <c r="E377" s="106" t="str">
        <f ca="1">IF(ISBLANK(OFFSET('Data Table'!$A372,2,Settings!$G$5)),"",OFFSET('Data Table'!$A372,2,Settings!$G$5))</f>
        <v/>
      </c>
      <c r="F377" s="143" t="str">
        <f ca="1">IF(ISBLANK(OFFSET('Data Table'!$A372,2,Settings!$G$5+1)),"",OFFSET('Data Table'!$A372,2,Settings!$G$5+1))</f>
        <v/>
      </c>
      <c r="G377">
        <f t="shared" ca="1" si="5"/>
        <v>23</v>
      </c>
      <c r="H377">
        <f ca="1">IF(G377=-888,"",IF(G377=-999,Settings!$G$4,IF(AND($AA$6="Excluded",G377&gt;=Settings!$G$2),"",G377)))</f>
        <v>23</v>
      </c>
      <c r="I377">
        <f ca="1">IF(OR(G377=-999,G377=-888,AND($AA$6="Excluded",G377&gt;=Settings!$G$2)),"",G377)</f>
        <v>23</v>
      </c>
      <c r="O377" s="46"/>
    </row>
    <row r="378" spans="1:15" x14ac:dyDescent="0.2">
      <c r="A378" s="1">
        <v>373</v>
      </c>
      <c r="B378" t="str">
        <f>IF(ISERROR(MATCH(TRIM('Data Table'!D375),Settings!$G$15:$G$20,0)),TRIM('Data Table'!D375),LOOKUP(TRIM('Data Table'!D375),Settings!$G$15:$G$20,Settings!$H$15:$H$20))</f>
        <v>Rutherford</v>
      </c>
      <c r="C378" t="str">
        <f>IF('Data Table'!F375="","SS",IF('Data Table'!F375="SF","SD",TRIM('Data Table'!F375)))</f>
        <v>SB</v>
      </c>
      <c r="D378" s="106">
        <f ca="1">IF(ISBLANK(OFFSET('Data Table'!$A373,2,Settings!$G$5-1)),"",OFFSET('Data Table'!$A373,2,Settings!$G$5-1))</f>
        <v>39</v>
      </c>
      <c r="E378" s="106" t="str">
        <f ca="1">IF(ISBLANK(OFFSET('Data Table'!$A373,2,Settings!$G$5)),"",OFFSET('Data Table'!$A373,2,Settings!$G$5))</f>
        <v/>
      </c>
      <c r="F378" s="143" t="str">
        <f ca="1">IF(ISBLANK(OFFSET('Data Table'!$A373,2,Settings!$G$5+1)),"",OFFSET('Data Table'!$A373,2,Settings!$G$5+1))</f>
        <v/>
      </c>
      <c r="G378">
        <f t="shared" ca="1" si="5"/>
        <v>39</v>
      </c>
      <c r="H378">
        <f ca="1">IF(G378=-888,"",IF(G378=-999,Settings!$G$4,IF(AND($AA$6="Excluded",G378&gt;=Settings!$G$2),"",G378)))</f>
        <v>39</v>
      </c>
      <c r="I378">
        <f ca="1">IF(OR(G378=-999,G378=-888,AND($AA$6="Excluded",G378&gt;=Settings!$G$2)),"",G378)</f>
        <v>39</v>
      </c>
      <c r="O378" s="46"/>
    </row>
    <row r="379" spans="1:15" x14ac:dyDescent="0.2">
      <c r="A379" s="1">
        <v>374</v>
      </c>
      <c r="B379" t="str">
        <f>IF(ISERROR(MATCH(TRIM('Data Table'!D376),Settings!$G$15:$G$20,0)),TRIM('Data Table'!D376),LOOKUP(TRIM('Data Table'!D376),Settings!$G$15:$G$20,Settings!$H$15:$H$20))</f>
        <v>Rutherford</v>
      </c>
      <c r="C379" t="str">
        <f>IF('Data Table'!F376="","SS",IF('Data Table'!F376="SF","SD",TRIM('Data Table'!F376)))</f>
        <v>SB</v>
      </c>
      <c r="D379" s="106">
        <f ca="1">IF(ISBLANK(OFFSET('Data Table'!$A374,2,Settings!$G$5-1)),"",OFFSET('Data Table'!$A374,2,Settings!$G$5-1))</f>
        <v>22</v>
      </c>
      <c r="E379" s="106" t="str">
        <f ca="1">IF(ISBLANK(OFFSET('Data Table'!$A374,2,Settings!$G$5)),"",OFFSET('Data Table'!$A374,2,Settings!$G$5))</f>
        <v/>
      </c>
      <c r="F379" s="143" t="str">
        <f ca="1">IF(ISBLANK(OFFSET('Data Table'!$A374,2,Settings!$G$5+1)),"",OFFSET('Data Table'!$A374,2,Settings!$G$5+1))</f>
        <v/>
      </c>
      <c r="G379">
        <f t="shared" ca="1" si="5"/>
        <v>22</v>
      </c>
      <c r="H379">
        <f ca="1">IF(G379=-888,"",IF(G379=-999,Settings!$G$4,IF(AND($AA$6="Excluded",G379&gt;=Settings!$G$2),"",G379)))</f>
        <v>22</v>
      </c>
      <c r="I379">
        <f ca="1">IF(OR(G379=-999,G379=-888,AND($AA$6="Excluded",G379&gt;=Settings!$G$2)),"",G379)</f>
        <v>22</v>
      </c>
      <c r="O379" s="46"/>
    </row>
    <row r="380" spans="1:15" x14ac:dyDescent="0.2">
      <c r="A380" s="1">
        <v>375</v>
      </c>
      <c r="B380" t="str">
        <f>IF(ISERROR(MATCH(TRIM('Data Table'!D377),Settings!$G$15:$G$20,0)),TRIM('Data Table'!D377),LOOKUP(TRIM('Data Table'!D377),Settings!$G$15:$G$20,Settings!$H$15:$H$20))</f>
        <v>Burke</v>
      </c>
      <c r="C380" t="str">
        <f>IF('Data Table'!F377="","SS",IF('Data Table'!F377="SF","SD",TRIM('Data Table'!F377)))</f>
        <v>SS</v>
      </c>
      <c r="D380" s="106" t="str">
        <f ca="1">IF(ISBLANK(OFFSET('Data Table'!$A375,2,Settings!$G$5-1)),"",OFFSET('Data Table'!$A375,2,Settings!$G$5-1))</f>
        <v/>
      </c>
      <c r="E380" s="106">
        <f ca="1">IF(ISBLANK(OFFSET('Data Table'!$A375,2,Settings!$G$5)),"",OFFSET('Data Table'!$A375,2,Settings!$G$5))</f>
        <v>9.9359999999999999</v>
      </c>
      <c r="F380" s="143" t="str">
        <f ca="1">IF(ISBLANK(OFFSET('Data Table'!$A375,2,Settings!$G$5+1)),"",OFFSET('Data Table'!$A375,2,Settings!$G$5+1))</f>
        <v/>
      </c>
      <c r="G380">
        <f t="shared" ca="1" si="5"/>
        <v>9.9359999999999999</v>
      </c>
      <c r="H380">
        <f ca="1">IF(G380=-888,"",IF(G380=-999,Settings!$G$4,IF(AND($AA$6="Excluded",G380&gt;=Settings!$G$2),"",G380)))</f>
        <v>9.9359999999999999</v>
      </c>
      <c r="I380">
        <f ca="1">IF(OR(G380=-999,G380=-888,AND($AA$6="Excluded",G380&gt;=Settings!$G$2)),"",G380)</f>
        <v>9.9359999999999999</v>
      </c>
      <c r="O380" s="46"/>
    </row>
    <row r="381" spans="1:15" x14ac:dyDescent="0.2">
      <c r="A381" s="1">
        <v>376</v>
      </c>
      <c r="B381" t="str">
        <f>IF(ISERROR(MATCH(TRIM('Data Table'!D378),Settings!$G$15:$G$20,0)),TRIM('Data Table'!D378),LOOKUP(TRIM('Data Table'!D378),Settings!$G$15:$G$20,Settings!$H$15:$H$20))</f>
        <v>Henderson</v>
      </c>
      <c r="C381" t="str">
        <f>IF('Data Table'!F378="","SS",IF('Data Table'!F378="SF","SD",TRIM('Data Table'!F378)))</f>
        <v>SB</v>
      </c>
      <c r="D381" s="106" t="str">
        <f ca="1">IF(ISBLANK(OFFSET('Data Table'!$A376,2,Settings!$G$5-1)),"",OFFSET('Data Table'!$A376,2,Settings!$G$5-1))</f>
        <v/>
      </c>
      <c r="E381" s="106">
        <f ca="1">IF(ISBLANK(OFFSET('Data Table'!$A376,2,Settings!$G$5)),"",OFFSET('Data Table'!$A376,2,Settings!$G$5))</f>
        <v>6.048</v>
      </c>
      <c r="F381" s="143" t="str">
        <f ca="1">IF(ISBLANK(OFFSET('Data Table'!$A376,2,Settings!$G$5+1)),"",OFFSET('Data Table'!$A376,2,Settings!$G$5+1))</f>
        <v/>
      </c>
      <c r="G381">
        <f t="shared" ca="1" si="5"/>
        <v>6.048</v>
      </c>
      <c r="H381">
        <f ca="1">IF(G381=-888,"",IF(G381=-999,Settings!$G$4,IF(AND($AA$6="Excluded",G381&gt;=Settings!$G$2),"",G381)))</f>
        <v>6.048</v>
      </c>
      <c r="I381">
        <f ca="1">IF(OR(G381=-999,G381=-888,AND($AA$6="Excluded",G381&gt;=Settings!$G$2)),"",G381)</f>
        <v>6.048</v>
      </c>
      <c r="O381" s="46"/>
    </row>
    <row r="382" spans="1:15" x14ac:dyDescent="0.2">
      <c r="A382" s="1">
        <v>377</v>
      </c>
      <c r="B382" t="str">
        <f>IF(ISERROR(MATCH(TRIM('Data Table'!D379),Settings!$G$15:$G$20,0)),TRIM('Data Table'!D379),LOOKUP(TRIM('Data Table'!D379),Settings!$G$15:$G$20,Settings!$H$15:$H$20))</f>
        <v>Henderson</v>
      </c>
      <c r="C382" t="str">
        <f>IF('Data Table'!F379="","SS",IF('Data Table'!F379="SF","SD",TRIM('Data Table'!F379)))</f>
        <v>SD</v>
      </c>
      <c r="D382" s="106" t="str">
        <f ca="1">IF(ISBLANK(OFFSET('Data Table'!$A377,2,Settings!$G$5-1)),"",OFFSET('Data Table'!$A377,2,Settings!$G$5-1))</f>
        <v/>
      </c>
      <c r="E382" s="106">
        <f ca="1">IF(ISBLANK(OFFSET('Data Table'!$A377,2,Settings!$G$5)),"",OFFSET('Data Table'!$A377,2,Settings!$G$5))</f>
        <v>4.1760000000000002</v>
      </c>
      <c r="F382" s="143" t="str">
        <f ca="1">IF(ISBLANK(OFFSET('Data Table'!$A377,2,Settings!$G$5+1)),"",OFFSET('Data Table'!$A377,2,Settings!$G$5+1))</f>
        <v/>
      </c>
      <c r="G382">
        <f t="shared" ca="1" si="5"/>
        <v>4.1760000000000002</v>
      </c>
      <c r="H382">
        <f ca="1">IF(G382=-888,"",IF(G382=-999,Settings!$G$4,IF(AND($AA$6="Excluded",G382&gt;=Settings!$G$2),"",G382)))</f>
        <v>4.1760000000000002</v>
      </c>
      <c r="I382">
        <f ca="1">IF(OR(G382=-999,G382=-888,AND($AA$6="Excluded",G382&gt;=Settings!$G$2)),"",G382)</f>
        <v>4.1760000000000002</v>
      </c>
      <c r="O382" s="46"/>
    </row>
    <row r="383" spans="1:15" x14ac:dyDescent="0.2">
      <c r="A383" s="1">
        <v>378</v>
      </c>
      <c r="B383" t="str">
        <f>IF(ISERROR(MATCH(TRIM('Data Table'!D380),Settings!$G$15:$G$20,0)),TRIM('Data Table'!D380),LOOKUP(TRIM('Data Table'!D380),Settings!$G$15:$G$20,Settings!$H$15:$H$20))</f>
        <v>Mecklenburg</v>
      </c>
      <c r="C383" t="str">
        <f>IF('Data Table'!F380="","SS",IF('Data Table'!F380="SF","SD",TRIM('Data Table'!F380)))</f>
        <v>SD</v>
      </c>
      <c r="D383" s="106" t="str">
        <f ca="1">IF(ISBLANK(OFFSET('Data Table'!$A378,2,Settings!$G$5-1)),"",OFFSET('Data Table'!$A378,2,Settings!$G$5-1))</f>
        <v/>
      </c>
      <c r="E383" s="106" t="str">
        <f ca="1">IF(ISBLANK(OFFSET('Data Table'!$A378,2,Settings!$G$5)),"",OFFSET('Data Table'!$A378,2,Settings!$G$5))</f>
        <v/>
      </c>
      <c r="F383" s="143">
        <f ca="1">IF(ISBLANK(OFFSET('Data Table'!$A378,2,Settings!$G$5+1)),"",OFFSET('Data Table'!$A378,2,Settings!$G$5+1))</f>
        <v>18</v>
      </c>
      <c r="G383">
        <f t="shared" ca="1" si="5"/>
        <v>18</v>
      </c>
      <c r="H383">
        <f ca="1">IF(G383=-888,"",IF(G383=-999,Settings!$G$4,IF(AND($AA$6="Excluded",G383&gt;=Settings!$G$2),"",G383)))</f>
        <v>18</v>
      </c>
      <c r="I383">
        <f ca="1">IF(OR(G383=-999,G383=-888,AND($AA$6="Excluded",G383&gt;=Settings!$G$2)),"",G383)</f>
        <v>18</v>
      </c>
      <c r="O383" s="46"/>
    </row>
    <row r="384" spans="1:15" x14ac:dyDescent="0.2">
      <c r="A384" s="1">
        <v>379</v>
      </c>
      <c r="B384" t="str">
        <f>IF(ISERROR(MATCH(TRIM('Data Table'!D381),Settings!$G$15:$G$20,0)),TRIM('Data Table'!D381),LOOKUP(TRIM('Data Table'!D381),Settings!$G$15:$G$20,Settings!$H$15:$H$20))</f>
        <v>Cabarrus</v>
      </c>
      <c r="C384" t="str">
        <f>IF('Data Table'!F381="","SS",IF('Data Table'!F381="SF","SD",TRIM('Data Table'!F381)))</f>
        <v>SB</v>
      </c>
      <c r="D384" s="106">
        <f ca="1">IF(ISBLANK(OFFSET('Data Table'!$A379,2,Settings!$G$5-1)),"",OFFSET('Data Table'!$A379,2,Settings!$G$5-1))</f>
        <v>14.3</v>
      </c>
      <c r="E384" s="106" t="str">
        <f ca="1">IF(ISBLANK(OFFSET('Data Table'!$A379,2,Settings!$G$5)),"",OFFSET('Data Table'!$A379,2,Settings!$G$5))</f>
        <v/>
      </c>
      <c r="F384" s="143" t="str">
        <f ca="1">IF(ISBLANK(OFFSET('Data Table'!$A379,2,Settings!$G$5+1)),"",OFFSET('Data Table'!$A379,2,Settings!$G$5+1))</f>
        <v/>
      </c>
      <c r="G384">
        <f t="shared" ca="1" si="5"/>
        <v>14.3</v>
      </c>
      <c r="H384">
        <f ca="1">IF(G384=-888,"",IF(G384=-999,Settings!$G$4,IF(AND($AA$6="Excluded",G384&gt;=Settings!$G$2),"",G384)))</f>
        <v>14.3</v>
      </c>
      <c r="I384">
        <f ca="1">IF(OR(G384=-999,G384=-888,AND($AA$6="Excluded",G384&gt;=Settings!$G$2)),"",G384)</f>
        <v>14.3</v>
      </c>
      <c r="O384" s="46"/>
    </row>
    <row r="385" spans="1:15" x14ac:dyDescent="0.2">
      <c r="A385" s="1">
        <v>380</v>
      </c>
      <c r="B385" t="str">
        <f>IF(ISERROR(MATCH(TRIM('Data Table'!D382),Settings!$G$15:$G$20,0)),TRIM('Data Table'!D382),LOOKUP(TRIM('Data Table'!D382),Settings!$G$15:$G$20,Settings!$H$15:$H$20))</f>
        <v>Cabarrus</v>
      </c>
      <c r="C385" t="str">
        <f>IF('Data Table'!F382="","SS",IF('Data Table'!F382="SF","SD",TRIM('Data Table'!F382)))</f>
        <v>SB</v>
      </c>
      <c r="D385" s="106">
        <f ca="1">IF(ISBLANK(OFFSET('Data Table'!$A380,2,Settings!$G$5-1)),"",OFFSET('Data Table'!$A380,2,Settings!$G$5-1))</f>
        <v>11.9</v>
      </c>
      <c r="E385" s="106" t="str">
        <f ca="1">IF(ISBLANK(OFFSET('Data Table'!$A380,2,Settings!$G$5)),"",OFFSET('Data Table'!$A380,2,Settings!$G$5))</f>
        <v/>
      </c>
      <c r="F385" s="143" t="str">
        <f ca="1">IF(ISBLANK(OFFSET('Data Table'!$A380,2,Settings!$G$5+1)),"",OFFSET('Data Table'!$A380,2,Settings!$G$5+1))</f>
        <v/>
      </c>
      <c r="G385">
        <f t="shared" ca="1" si="5"/>
        <v>11.9</v>
      </c>
      <c r="H385">
        <f ca="1">IF(G385=-888,"",IF(G385=-999,Settings!$G$4,IF(AND($AA$6="Excluded",G385&gt;=Settings!$G$2),"",G385)))</f>
        <v>11.9</v>
      </c>
      <c r="I385">
        <f ca="1">IF(OR(G385=-999,G385=-888,AND($AA$6="Excluded",G385&gt;=Settings!$G$2)),"",G385)</f>
        <v>11.9</v>
      </c>
      <c r="O385" s="46"/>
    </row>
    <row r="386" spans="1:15" x14ac:dyDescent="0.2">
      <c r="A386" s="1">
        <v>381</v>
      </c>
      <c r="B386" t="str">
        <f>IF(ISERROR(MATCH(TRIM('Data Table'!D383),Settings!$G$15:$G$20,0)),TRIM('Data Table'!D383),LOOKUP(TRIM('Data Table'!D383),Settings!$G$15:$G$20,Settings!$H$15:$H$20))</f>
        <v>Cabarrus</v>
      </c>
      <c r="C386" t="str">
        <f>IF('Data Table'!F383="","SS",IF('Data Table'!F383="SF","SD",TRIM('Data Table'!F383)))</f>
        <v>SB</v>
      </c>
      <c r="D386" s="106">
        <f ca="1">IF(ISBLANK(OFFSET('Data Table'!$A381,2,Settings!$G$5-1)),"",OFFSET('Data Table'!$A381,2,Settings!$G$5-1))</f>
        <v>10.6</v>
      </c>
      <c r="E386" s="106" t="str">
        <f ca="1">IF(ISBLANK(OFFSET('Data Table'!$A381,2,Settings!$G$5)),"",OFFSET('Data Table'!$A381,2,Settings!$G$5))</f>
        <v/>
      </c>
      <c r="F386" s="143" t="str">
        <f ca="1">IF(ISBLANK(OFFSET('Data Table'!$A381,2,Settings!$G$5+1)),"",OFFSET('Data Table'!$A381,2,Settings!$G$5+1))</f>
        <v/>
      </c>
      <c r="G386">
        <f t="shared" ca="1" si="5"/>
        <v>10.6</v>
      </c>
      <c r="H386">
        <f ca="1">IF(G386=-888,"",IF(G386=-999,Settings!$G$4,IF(AND($AA$6="Excluded",G386&gt;=Settings!$G$2),"",G386)))</f>
        <v>10.6</v>
      </c>
      <c r="I386">
        <f ca="1">IF(OR(G386=-999,G386=-888,AND($AA$6="Excluded",G386&gt;=Settings!$G$2)),"",G386)</f>
        <v>10.6</v>
      </c>
      <c r="O386" s="46"/>
    </row>
    <row r="387" spans="1:15" x14ac:dyDescent="0.2">
      <c r="A387" s="1">
        <v>382</v>
      </c>
      <c r="B387" t="str">
        <f>IF(ISERROR(MATCH(TRIM('Data Table'!D384),Settings!$G$15:$G$20,0)),TRIM('Data Table'!D384),LOOKUP(TRIM('Data Table'!D384),Settings!$G$15:$G$20,Settings!$H$15:$H$20))</f>
        <v>Cabarrus</v>
      </c>
      <c r="C387" t="str">
        <f>IF('Data Table'!F384="","SS",IF('Data Table'!F384="SF","SD",TRIM('Data Table'!F384)))</f>
        <v>SB</v>
      </c>
      <c r="D387" s="106">
        <f ca="1">IF(ISBLANK(OFFSET('Data Table'!$A382,2,Settings!$G$5-1)),"",OFFSET('Data Table'!$A382,2,Settings!$G$5-1))</f>
        <v>32.6</v>
      </c>
      <c r="E387" s="106" t="str">
        <f ca="1">IF(ISBLANK(OFFSET('Data Table'!$A382,2,Settings!$G$5)),"",OFFSET('Data Table'!$A382,2,Settings!$G$5))</f>
        <v/>
      </c>
      <c r="F387" s="143" t="str">
        <f ca="1">IF(ISBLANK(OFFSET('Data Table'!$A382,2,Settings!$G$5+1)),"",OFFSET('Data Table'!$A382,2,Settings!$G$5+1))</f>
        <v/>
      </c>
      <c r="G387">
        <f t="shared" ca="1" si="5"/>
        <v>32.6</v>
      </c>
      <c r="H387">
        <f ca="1">IF(G387=-888,"",IF(G387=-999,Settings!$G$4,IF(AND($AA$6="Excluded",G387&gt;=Settings!$G$2),"",G387)))</f>
        <v>32.6</v>
      </c>
      <c r="I387">
        <f ca="1">IF(OR(G387=-999,G387=-888,AND($AA$6="Excluded",G387&gt;=Settings!$G$2)),"",G387)</f>
        <v>32.6</v>
      </c>
      <c r="O387" s="46"/>
    </row>
    <row r="388" spans="1:15" x14ac:dyDescent="0.2">
      <c r="A388" s="1">
        <v>383</v>
      </c>
      <c r="B388" t="str">
        <f>IF(ISERROR(MATCH(TRIM('Data Table'!D385),Settings!$G$15:$G$20,0)),TRIM('Data Table'!D385),LOOKUP(TRIM('Data Table'!D385),Settings!$G$15:$G$20,Settings!$H$15:$H$20))</f>
        <v>Cabarrus</v>
      </c>
      <c r="C388" t="str">
        <f>IF('Data Table'!F385="","SS",IF('Data Table'!F385="SF","SD",TRIM('Data Table'!F385)))</f>
        <v>SB</v>
      </c>
      <c r="D388" s="106">
        <f ca="1">IF(ISBLANK(OFFSET('Data Table'!$A383,2,Settings!$G$5-1)),"",OFFSET('Data Table'!$A383,2,Settings!$G$5-1))</f>
        <v>41.5</v>
      </c>
      <c r="E388" s="106" t="str">
        <f ca="1">IF(ISBLANK(OFFSET('Data Table'!$A383,2,Settings!$G$5)),"",OFFSET('Data Table'!$A383,2,Settings!$G$5))</f>
        <v/>
      </c>
      <c r="F388" s="143" t="str">
        <f ca="1">IF(ISBLANK(OFFSET('Data Table'!$A383,2,Settings!$G$5+1)),"",OFFSET('Data Table'!$A383,2,Settings!$G$5+1))</f>
        <v/>
      </c>
      <c r="G388">
        <f t="shared" ca="1" si="5"/>
        <v>41.5</v>
      </c>
      <c r="H388">
        <f ca="1">IF(G388=-888,"",IF(G388=-999,Settings!$G$4,IF(AND($AA$6="Excluded",G388&gt;=Settings!$G$2),"",G388)))</f>
        <v>41.5</v>
      </c>
      <c r="I388">
        <f ca="1">IF(OR(G388=-999,G388=-888,AND($AA$6="Excluded",G388&gt;=Settings!$G$2)),"",G388)</f>
        <v>41.5</v>
      </c>
      <c r="O388" s="46"/>
    </row>
    <row r="389" spans="1:15" x14ac:dyDescent="0.2">
      <c r="A389" s="1">
        <v>384</v>
      </c>
      <c r="B389" t="str">
        <f>IF(ISERROR(MATCH(TRIM('Data Table'!D386),Settings!$G$15:$G$20,0)),TRIM('Data Table'!D386),LOOKUP(TRIM('Data Table'!D386),Settings!$G$15:$G$20,Settings!$H$15:$H$20))</f>
        <v>Johnston</v>
      </c>
      <c r="C389" t="str">
        <f>IF('Data Table'!F386="","SS",IF('Data Table'!F386="SF","SD",TRIM('Data Table'!F386)))</f>
        <v>SS</v>
      </c>
      <c r="D389" s="106" t="str">
        <f ca="1">IF(ISBLANK(OFFSET('Data Table'!$A384,2,Settings!$G$5-1)),"",OFFSET('Data Table'!$A384,2,Settings!$G$5-1))</f>
        <v/>
      </c>
      <c r="E389" s="106" t="str">
        <f ca="1">IF(ISBLANK(OFFSET('Data Table'!$A384,2,Settings!$G$5)),"",OFFSET('Data Table'!$A384,2,Settings!$G$5))</f>
        <v/>
      </c>
      <c r="F389" s="143">
        <f ca="1">IF(ISBLANK(OFFSET('Data Table'!$A384,2,Settings!$G$5+1)),"",OFFSET('Data Table'!$A384,2,Settings!$G$5+1))</f>
        <v>20</v>
      </c>
      <c r="G389">
        <f t="shared" ca="1" si="5"/>
        <v>20</v>
      </c>
      <c r="H389">
        <f ca="1">IF(G389=-888,"",IF(G389=-999,Settings!$G$4,IF(AND($AA$6="Excluded",G389&gt;=Settings!$G$2),"",G389)))</f>
        <v>20</v>
      </c>
      <c r="I389">
        <f ca="1">IF(OR(G389=-999,G389=-888,AND($AA$6="Excluded",G389&gt;=Settings!$G$2)),"",G389)</f>
        <v>20</v>
      </c>
      <c r="O389" s="46"/>
    </row>
    <row r="390" spans="1:15" x14ac:dyDescent="0.2">
      <c r="A390" s="1">
        <v>385</v>
      </c>
      <c r="B390" t="str">
        <f>IF(ISERROR(MATCH(TRIM('Data Table'!D387),Settings!$G$15:$G$20,0)),TRIM('Data Table'!D387),LOOKUP(TRIM('Data Table'!D387),Settings!$G$15:$G$20,Settings!$H$15:$H$20))</f>
        <v>Randolph</v>
      </c>
      <c r="C390" t="str">
        <f>IF('Data Table'!F387="","SS",IF('Data Table'!F387="SF","SD",TRIM('Data Table'!F387)))</f>
        <v>SS</v>
      </c>
      <c r="D390" s="106">
        <f ca="1">IF(ISBLANK(OFFSET('Data Table'!$A385,2,Settings!$G$5-1)),"",OFFSET('Data Table'!$A385,2,Settings!$G$5-1))</f>
        <v>15</v>
      </c>
      <c r="E390" s="106" t="str">
        <f ca="1">IF(ISBLANK(OFFSET('Data Table'!$A385,2,Settings!$G$5)),"",OFFSET('Data Table'!$A385,2,Settings!$G$5))</f>
        <v/>
      </c>
      <c r="F390" s="143" t="str">
        <f ca="1">IF(ISBLANK(OFFSET('Data Table'!$A385,2,Settings!$G$5+1)),"",OFFSET('Data Table'!$A385,2,Settings!$G$5+1))</f>
        <v/>
      </c>
      <c r="G390">
        <f t="shared" ref="G390:G453" ca="1" si="6">IF(COUNTIF(SOIL_DEPTH,C390)=0,"",IF(OR(D390="#",E390="#",F390="#"),-999,IF(AND(D390="",E390="",F390=""),-888,IF(COUNT(D390:F390)&gt;1,"ERROR",MAX(D390:F390)))))</f>
        <v>15</v>
      </c>
      <c r="H390">
        <f ca="1">IF(G390=-888,"",IF(G390=-999,Settings!$G$4,IF(AND($AA$6="Excluded",G390&gt;=Settings!$G$2),"",G390)))</f>
        <v>15</v>
      </c>
      <c r="I390">
        <f ca="1">IF(OR(G390=-999,G390=-888,AND($AA$6="Excluded",G390&gt;=Settings!$G$2)),"",G390)</f>
        <v>15</v>
      </c>
      <c r="O390" s="46"/>
    </row>
    <row r="391" spans="1:15" x14ac:dyDescent="0.2">
      <c r="A391" s="1">
        <v>386</v>
      </c>
      <c r="B391" t="str">
        <f>IF(ISERROR(MATCH(TRIM('Data Table'!D388),Settings!$G$15:$G$20,0)),TRIM('Data Table'!D388),LOOKUP(TRIM('Data Table'!D388),Settings!$G$15:$G$20,Settings!$H$15:$H$20))</f>
        <v>Randolph</v>
      </c>
      <c r="C391" t="str">
        <f>IF('Data Table'!F388="","SS",IF('Data Table'!F388="SF","SD",TRIM('Data Table'!F388)))</f>
        <v>SD</v>
      </c>
      <c r="D391" s="106">
        <f ca="1">IF(ISBLANK(OFFSET('Data Table'!$A386,2,Settings!$G$5-1)),"",OFFSET('Data Table'!$A386,2,Settings!$G$5-1))</f>
        <v>5.5</v>
      </c>
      <c r="E391" s="106" t="str">
        <f ca="1">IF(ISBLANK(OFFSET('Data Table'!$A386,2,Settings!$G$5)),"",OFFSET('Data Table'!$A386,2,Settings!$G$5))</f>
        <v/>
      </c>
      <c r="F391" s="143" t="str">
        <f ca="1">IF(ISBLANK(OFFSET('Data Table'!$A386,2,Settings!$G$5+1)),"",OFFSET('Data Table'!$A386,2,Settings!$G$5+1))</f>
        <v/>
      </c>
      <c r="G391">
        <f t="shared" ca="1" si="6"/>
        <v>5.5</v>
      </c>
      <c r="H391">
        <f ca="1">IF(G391=-888,"",IF(G391=-999,Settings!$G$4,IF(AND($AA$6="Excluded",G391&gt;=Settings!$G$2),"",G391)))</f>
        <v>5.5</v>
      </c>
      <c r="I391">
        <f ca="1">IF(OR(G391=-999,G391=-888,AND($AA$6="Excluded",G391&gt;=Settings!$G$2)),"",G391)</f>
        <v>5.5</v>
      </c>
      <c r="O391" s="46"/>
    </row>
    <row r="392" spans="1:15" x14ac:dyDescent="0.2">
      <c r="A392" s="1">
        <v>387</v>
      </c>
      <c r="B392" t="str">
        <f>IF(ISERROR(MATCH(TRIM('Data Table'!D389),Settings!$G$15:$G$20,0)),TRIM('Data Table'!D389),LOOKUP(TRIM('Data Table'!D389),Settings!$G$15:$G$20,Settings!$H$15:$H$20))</f>
        <v>Randolph</v>
      </c>
      <c r="C392" t="str">
        <f>IF('Data Table'!F389="","SS",IF('Data Table'!F389="SF","SD",TRIM('Data Table'!F389)))</f>
        <v>SD</v>
      </c>
      <c r="D392" s="106">
        <f ca="1">IF(ISBLANK(OFFSET('Data Table'!$A387,2,Settings!$G$5-1)),"",OFFSET('Data Table'!$A387,2,Settings!$G$5-1))</f>
        <v>8</v>
      </c>
      <c r="E392" s="106" t="str">
        <f ca="1">IF(ISBLANK(OFFSET('Data Table'!$A387,2,Settings!$G$5)),"",OFFSET('Data Table'!$A387,2,Settings!$G$5))</f>
        <v/>
      </c>
      <c r="F392" s="143" t="str">
        <f ca="1">IF(ISBLANK(OFFSET('Data Table'!$A387,2,Settings!$G$5+1)),"",OFFSET('Data Table'!$A387,2,Settings!$G$5+1))</f>
        <v/>
      </c>
      <c r="G392">
        <f t="shared" ca="1" si="6"/>
        <v>8</v>
      </c>
      <c r="H392">
        <f ca="1">IF(G392=-888,"",IF(G392=-999,Settings!$G$4,IF(AND($AA$6="Excluded",G392&gt;=Settings!$G$2),"",G392)))</f>
        <v>8</v>
      </c>
      <c r="I392">
        <f ca="1">IF(OR(G392=-999,G392=-888,AND($AA$6="Excluded",G392&gt;=Settings!$G$2)),"",G392)</f>
        <v>8</v>
      </c>
      <c r="O392" s="46"/>
    </row>
    <row r="393" spans="1:15" x14ac:dyDescent="0.2">
      <c r="A393" s="1">
        <v>388</v>
      </c>
      <c r="B393" t="str">
        <f>IF(ISERROR(MATCH(TRIM('Data Table'!D390),Settings!$G$15:$G$20,0)),TRIM('Data Table'!D390),LOOKUP(TRIM('Data Table'!D390),Settings!$G$15:$G$20,Settings!$H$15:$H$20))</f>
        <v>Cleveland</v>
      </c>
      <c r="C393" t="str">
        <f>IF('Data Table'!F390="","SS",IF('Data Table'!F390="SF","SD",TRIM('Data Table'!F390)))</f>
        <v>SB</v>
      </c>
      <c r="D393" s="106">
        <f ca="1">IF(ISBLANK(OFFSET('Data Table'!$A388,2,Settings!$G$5-1)),"",OFFSET('Data Table'!$A388,2,Settings!$G$5-1))</f>
        <v>160</v>
      </c>
      <c r="E393" s="106" t="str">
        <f ca="1">IF(ISBLANK(OFFSET('Data Table'!$A388,2,Settings!$G$5)),"",OFFSET('Data Table'!$A388,2,Settings!$G$5))</f>
        <v/>
      </c>
      <c r="F393" s="143" t="str">
        <f ca="1">IF(ISBLANK(OFFSET('Data Table'!$A388,2,Settings!$G$5+1)),"",OFFSET('Data Table'!$A388,2,Settings!$G$5+1))</f>
        <v/>
      </c>
      <c r="G393">
        <f t="shared" ca="1" si="6"/>
        <v>160</v>
      </c>
      <c r="H393">
        <f ca="1">IF(G393=-888,"",IF(G393=-999,Settings!$G$4,IF(AND($AA$6="Excluded",G393&gt;=Settings!$G$2),"",G393)))</f>
        <v>160</v>
      </c>
      <c r="I393">
        <f ca="1">IF(OR(G393=-999,G393=-888,AND($AA$6="Excluded",G393&gt;=Settings!$G$2)),"",G393)</f>
        <v>160</v>
      </c>
      <c r="O393" s="46"/>
    </row>
    <row r="394" spans="1:15" x14ac:dyDescent="0.2">
      <c r="A394" s="1">
        <v>389</v>
      </c>
      <c r="B394" t="str">
        <f>IF(ISERROR(MATCH(TRIM('Data Table'!D391),Settings!$G$15:$G$20,0)),TRIM('Data Table'!D391),LOOKUP(TRIM('Data Table'!D391),Settings!$G$15:$G$20,Settings!$H$15:$H$20))</f>
        <v>Yancey</v>
      </c>
      <c r="C394" t="str">
        <f>IF('Data Table'!F391="","SS",IF('Data Table'!F391="SF","SD",TRIM('Data Table'!F391)))</f>
        <v>SS</v>
      </c>
      <c r="D394" s="106">
        <f ca="1">IF(ISBLANK(OFFSET('Data Table'!$A389,2,Settings!$G$5-1)),"",OFFSET('Data Table'!$A389,2,Settings!$G$5-1))</f>
        <v>20</v>
      </c>
      <c r="E394" s="106" t="str">
        <f ca="1">IF(ISBLANK(OFFSET('Data Table'!$A389,2,Settings!$G$5)),"",OFFSET('Data Table'!$A389,2,Settings!$G$5))</f>
        <v/>
      </c>
      <c r="F394" s="143" t="str">
        <f ca="1">IF(ISBLANK(OFFSET('Data Table'!$A389,2,Settings!$G$5+1)),"",OFFSET('Data Table'!$A389,2,Settings!$G$5+1))</f>
        <v/>
      </c>
      <c r="G394">
        <f t="shared" ca="1" si="6"/>
        <v>20</v>
      </c>
      <c r="H394">
        <f ca="1">IF(G394=-888,"",IF(G394=-999,Settings!$G$4,IF(AND($AA$6="Excluded",G394&gt;=Settings!$G$2),"",G394)))</f>
        <v>20</v>
      </c>
      <c r="I394">
        <f ca="1">IF(OR(G394=-999,G394=-888,AND($AA$6="Excluded",G394&gt;=Settings!$G$2)),"",G394)</f>
        <v>20</v>
      </c>
      <c r="O394" s="46"/>
    </row>
    <row r="395" spans="1:15" x14ac:dyDescent="0.2">
      <c r="A395" s="1">
        <v>390</v>
      </c>
      <c r="B395" t="str">
        <f>IF(ISERROR(MATCH(TRIM('Data Table'!D392),Settings!$G$15:$G$20,0)),TRIM('Data Table'!D392),LOOKUP(TRIM('Data Table'!D392),Settings!$G$15:$G$20,Settings!$H$15:$H$20))</f>
        <v>Yancey</v>
      </c>
      <c r="C395" t="str">
        <f>IF('Data Table'!F392="","SS",IF('Data Table'!F392="SF","SD",TRIM('Data Table'!F392)))</f>
        <v>SD</v>
      </c>
      <c r="D395" s="106" t="str">
        <f ca="1">IF(ISBLANK(OFFSET('Data Table'!$A390,2,Settings!$G$5-1)),"",OFFSET('Data Table'!$A390,2,Settings!$G$5-1))</f>
        <v/>
      </c>
      <c r="E395" s="106" t="str">
        <f ca="1">IF(ISBLANK(OFFSET('Data Table'!$A390,2,Settings!$G$5)),"",OFFSET('Data Table'!$A390,2,Settings!$G$5))</f>
        <v/>
      </c>
      <c r="F395" s="143">
        <f ca="1">IF(ISBLANK(OFFSET('Data Table'!$A390,2,Settings!$G$5+1)),"",OFFSET('Data Table'!$A390,2,Settings!$G$5+1))</f>
        <v>18</v>
      </c>
      <c r="G395">
        <f t="shared" ca="1" si="6"/>
        <v>18</v>
      </c>
      <c r="H395">
        <f ca="1">IF(G395=-888,"",IF(G395=-999,Settings!$G$4,IF(AND($AA$6="Excluded",G395&gt;=Settings!$G$2),"",G395)))</f>
        <v>18</v>
      </c>
      <c r="I395">
        <f ca="1">IF(OR(G395=-999,G395=-888,AND($AA$6="Excluded",G395&gt;=Settings!$G$2)),"",G395)</f>
        <v>18</v>
      </c>
      <c r="O395" s="46"/>
    </row>
    <row r="396" spans="1:15" x14ac:dyDescent="0.2">
      <c r="A396" s="1">
        <v>391</v>
      </c>
      <c r="B396" t="str">
        <f>IF(ISERROR(MATCH(TRIM('Data Table'!D393),Settings!$G$15:$G$20,0)),TRIM('Data Table'!D393),LOOKUP(TRIM('Data Table'!D393),Settings!$G$15:$G$20,Settings!$H$15:$H$20))</f>
        <v>Alamance</v>
      </c>
      <c r="C396" t="str">
        <f>IF('Data Table'!F393="","SS",IF('Data Table'!F393="SF","SD",TRIM('Data Table'!F393)))</f>
        <v>SB</v>
      </c>
      <c r="D396" s="106" t="str">
        <f ca="1">IF(ISBLANK(OFFSET('Data Table'!$A391,2,Settings!$G$5-1)),"",OFFSET('Data Table'!$A391,2,Settings!$G$5-1))</f>
        <v/>
      </c>
      <c r="E396" s="106" t="str">
        <f ca="1">IF(ISBLANK(OFFSET('Data Table'!$A391,2,Settings!$G$5)),"",OFFSET('Data Table'!$A391,2,Settings!$G$5))</f>
        <v/>
      </c>
      <c r="F396" s="143">
        <f ca="1">IF(ISBLANK(OFFSET('Data Table'!$A391,2,Settings!$G$5+1)),"",OFFSET('Data Table'!$A391,2,Settings!$G$5+1))</f>
        <v>11</v>
      </c>
      <c r="G396">
        <f t="shared" ca="1" si="6"/>
        <v>11</v>
      </c>
      <c r="H396">
        <f ca="1">IF(G396=-888,"",IF(G396=-999,Settings!$G$4,IF(AND($AA$6="Excluded",G396&gt;=Settings!$G$2),"",G396)))</f>
        <v>11</v>
      </c>
      <c r="I396">
        <f ca="1">IF(OR(G396=-999,G396=-888,AND($AA$6="Excluded",G396&gt;=Settings!$G$2)),"",G396)</f>
        <v>11</v>
      </c>
      <c r="O396" s="46"/>
    </row>
    <row r="397" spans="1:15" x14ac:dyDescent="0.2">
      <c r="A397" s="1">
        <v>392</v>
      </c>
      <c r="B397" t="str">
        <f>IF(ISERROR(MATCH(TRIM('Data Table'!D394),Settings!$G$15:$G$20,0)),TRIM('Data Table'!D394),LOOKUP(TRIM('Data Table'!D394),Settings!$G$15:$G$20,Settings!$H$15:$H$20))</f>
        <v>Alamance</v>
      </c>
      <c r="C397" t="str">
        <f>IF('Data Table'!F394="","SS",IF('Data Table'!F394="SF","SD",TRIM('Data Table'!F394)))</f>
        <v>SB</v>
      </c>
      <c r="D397" s="106" t="str">
        <f ca="1">IF(ISBLANK(OFFSET('Data Table'!$A392,2,Settings!$G$5-1)),"",OFFSET('Data Table'!$A392,2,Settings!$G$5-1))</f>
        <v/>
      </c>
      <c r="E397" s="106" t="str">
        <f ca="1">IF(ISBLANK(OFFSET('Data Table'!$A392,2,Settings!$G$5)),"",OFFSET('Data Table'!$A392,2,Settings!$G$5))</f>
        <v/>
      </c>
      <c r="F397" s="143">
        <f ca="1">IF(ISBLANK(OFFSET('Data Table'!$A392,2,Settings!$G$5+1)),"",OFFSET('Data Table'!$A392,2,Settings!$G$5+1))</f>
        <v>12</v>
      </c>
      <c r="G397">
        <f t="shared" ca="1" si="6"/>
        <v>12</v>
      </c>
      <c r="H397">
        <f ca="1">IF(G397=-888,"",IF(G397=-999,Settings!$G$4,IF(AND($AA$6="Excluded",G397&gt;=Settings!$G$2),"",G397)))</f>
        <v>12</v>
      </c>
      <c r="I397">
        <f ca="1">IF(OR(G397=-999,G397=-888,AND($AA$6="Excluded",G397&gt;=Settings!$G$2)),"",G397)</f>
        <v>12</v>
      </c>
      <c r="O397" s="46"/>
    </row>
    <row r="398" spans="1:15" x14ac:dyDescent="0.2">
      <c r="A398" s="1">
        <v>393</v>
      </c>
      <c r="B398" t="str">
        <f>IF(ISERROR(MATCH(TRIM('Data Table'!D395),Settings!$G$15:$G$20,0)),TRIM('Data Table'!D395),LOOKUP(TRIM('Data Table'!D395),Settings!$G$15:$G$20,Settings!$H$15:$H$20))</f>
        <v>Alamance</v>
      </c>
      <c r="C398" t="str">
        <f>IF('Data Table'!F395="","SS",IF('Data Table'!F395="SF","SD",TRIM('Data Table'!F395)))</f>
        <v>SS</v>
      </c>
      <c r="D398" s="106">
        <f ca="1">IF(ISBLANK(OFFSET('Data Table'!$A393,2,Settings!$G$5-1)),"",OFFSET('Data Table'!$A393,2,Settings!$G$5-1))</f>
        <v>9</v>
      </c>
      <c r="E398" s="106" t="str">
        <f ca="1">IF(ISBLANK(OFFSET('Data Table'!$A393,2,Settings!$G$5)),"",OFFSET('Data Table'!$A393,2,Settings!$G$5))</f>
        <v/>
      </c>
      <c r="F398" s="143" t="str">
        <f ca="1">IF(ISBLANK(OFFSET('Data Table'!$A393,2,Settings!$G$5+1)),"",OFFSET('Data Table'!$A393,2,Settings!$G$5+1))</f>
        <v/>
      </c>
      <c r="G398">
        <f t="shared" ca="1" si="6"/>
        <v>9</v>
      </c>
      <c r="H398">
        <f ca="1">IF(G398=-888,"",IF(G398=-999,Settings!$G$4,IF(AND($AA$6="Excluded",G398&gt;=Settings!$G$2),"",G398)))</f>
        <v>9</v>
      </c>
      <c r="I398">
        <f ca="1">IF(OR(G398=-999,G398=-888,AND($AA$6="Excluded",G398&gt;=Settings!$G$2)),"",G398)</f>
        <v>9</v>
      </c>
      <c r="O398" s="46"/>
    </row>
    <row r="399" spans="1:15" x14ac:dyDescent="0.2">
      <c r="A399" s="1">
        <v>394</v>
      </c>
      <c r="B399" t="str">
        <f>IF(ISERROR(MATCH(TRIM('Data Table'!D396),Settings!$G$15:$G$20,0)),TRIM('Data Table'!D396),LOOKUP(TRIM('Data Table'!D396),Settings!$G$15:$G$20,Settings!$H$15:$H$20))</f>
        <v>Buncombe</v>
      </c>
      <c r="C399" t="str">
        <f>IF('Data Table'!F396="","SS",IF('Data Table'!F396="SF","SD",TRIM('Data Table'!F396)))</f>
        <v>SS</v>
      </c>
      <c r="D399" s="106">
        <f ca="1">IF(ISBLANK(OFFSET('Data Table'!$A394,2,Settings!$G$5-1)),"",OFFSET('Data Table'!$A394,2,Settings!$G$5-1))</f>
        <v>11</v>
      </c>
      <c r="E399" s="106" t="str">
        <f ca="1">IF(ISBLANK(OFFSET('Data Table'!$A394,2,Settings!$G$5)),"",OFFSET('Data Table'!$A394,2,Settings!$G$5))</f>
        <v/>
      </c>
      <c r="F399" s="143" t="str">
        <f ca="1">IF(ISBLANK(OFFSET('Data Table'!$A394,2,Settings!$G$5+1)),"",OFFSET('Data Table'!$A394,2,Settings!$G$5+1))</f>
        <v/>
      </c>
      <c r="G399">
        <f t="shared" ca="1" si="6"/>
        <v>11</v>
      </c>
      <c r="H399">
        <f ca="1">IF(G399=-888,"",IF(G399=-999,Settings!$G$4,IF(AND($AA$6="Excluded",G399&gt;=Settings!$G$2),"",G399)))</f>
        <v>11</v>
      </c>
      <c r="I399">
        <f ca="1">IF(OR(G399=-999,G399=-888,AND($AA$6="Excluded",G399&gt;=Settings!$G$2)),"",G399)</f>
        <v>11</v>
      </c>
      <c r="O399" s="46"/>
    </row>
    <row r="400" spans="1:15" x14ac:dyDescent="0.2">
      <c r="A400" s="1">
        <v>395</v>
      </c>
      <c r="B400" t="str">
        <f>IF(ISERROR(MATCH(TRIM('Data Table'!D397),Settings!$G$15:$G$20,0)),TRIM('Data Table'!D397),LOOKUP(TRIM('Data Table'!D397),Settings!$G$15:$G$20,Settings!$H$15:$H$20))</f>
        <v>Wayne</v>
      </c>
      <c r="C400" t="str">
        <f>IF('Data Table'!F397="","SS",IF('Data Table'!F397="SF","SD",TRIM('Data Table'!F397)))</f>
        <v>SS</v>
      </c>
      <c r="D400" s="106">
        <f ca="1">IF(ISBLANK(OFFSET('Data Table'!$A395,2,Settings!$G$5-1)),"",OFFSET('Data Table'!$A395,2,Settings!$G$5-1))</f>
        <v>58</v>
      </c>
      <c r="E400" s="106" t="str">
        <f ca="1">IF(ISBLANK(OFFSET('Data Table'!$A395,2,Settings!$G$5)),"",OFFSET('Data Table'!$A395,2,Settings!$G$5))</f>
        <v/>
      </c>
      <c r="F400" s="143" t="str">
        <f ca="1">IF(ISBLANK(OFFSET('Data Table'!$A395,2,Settings!$G$5+1)),"",OFFSET('Data Table'!$A395,2,Settings!$G$5+1))</f>
        <v/>
      </c>
      <c r="G400">
        <f t="shared" ca="1" si="6"/>
        <v>58</v>
      </c>
      <c r="H400">
        <f ca="1">IF(G400=-888,"",IF(G400=-999,Settings!$G$4,IF(AND($AA$6="Excluded",G400&gt;=Settings!$G$2),"",G400)))</f>
        <v>58</v>
      </c>
      <c r="I400">
        <f ca="1">IF(OR(G400=-999,G400=-888,AND($AA$6="Excluded",G400&gt;=Settings!$G$2)),"",G400)</f>
        <v>58</v>
      </c>
      <c r="O400" s="46"/>
    </row>
    <row r="401" spans="1:15" x14ac:dyDescent="0.2">
      <c r="A401" s="1">
        <v>396</v>
      </c>
      <c r="B401" t="str">
        <f>IF(ISERROR(MATCH(TRIM('Data Table'!D398),Settings!$G$15:$G$20,0)),TRIM('Data Table'!D398),LOOKUP(TRIM('Data Table'!D398),Settings!$G$15:$G$20,Settings!$H$15:$H$20))</f>
        <v>Wayne</v>
      </c>
      <c r="C401" t="str">
        <f>IF('Data Table'!F398="","SS",IF('Data Table'!F398="SF","SD",TRIM('Data Table'!F398)))</f>
        <v>SB</v>
      </c>
      <c r="D401" s="106">
        <f ca="1">IF(ISBLANK(OFFSET('Data Table'!$A396,2,Settings!$G$5-1)),"",OFFSET('Data Table'!$A396,2,Settings!$G$5-1))</f>
        <v>19</v>
      </c>
      <c r="E401" s="106" t="str">
        <f ca="1">IF(ISBLANK(OFFSET('Data Table'!$A396,2,Settings!$G$5)),"",OFFSET('Data Table'!$A396,2,Settings!$G$5))</f>
        <v/>
      </c>
      <c r="F401" s="143" t="str">
        <f ca="1">IF(ISBLANK(OFFSET('Data Table'!$A396,2,Settings!$G$5+1)),"",OFFSET('Data Table'!$A396,2,Settings!$G$5+1))</f>
        <v/>
      </c>
      <c r="G401">
        <f t="shared" ca="1" si="6"/>
        <v>19</v>
      </c>
      <c r="H401">
        <f ca="1">IF(G401=-888,"",IF(G401=-999,Settings!$G$4,IF(AND($AA$6="Excluded",G401&gt;=Settings!$G$2),"",G401)))</f>
        <v>19</v>
      </c>
      <c r="I401">
        <f ca="1">IF(OR(G401=-999,G401=-888,AND($AA$6="Excluded",G401&gt;=Settings!$G$2)),"",G401)</f>
        <v>19</v>
      </c>
      <c r="O401" s="46"/>
    </row>
    <row r="402" spans="1:15" x14ac:dyDescent="0.2">
      <c r="A402" s="1">
        <v>397</v>
      </c>
      <c r="B402" t="str">
        <f>IF(ISERROR(MATCH(TRIM('Data Table'!D399),Settings!$G$15:$G$20,0)),TRIM('Data Table'!D399),LOOKUP(TRIM('Data Table'!D399),Settings!$G$15:$G$20,Settings!$H$15:$H$20))</f>
        <v>Wayne</v>
      </c>
      <c r="C402" t="str">
        <f>IF('Data Table'!F399="","SS",IF('Data Table'!F399="SF","SD",TRIM('Data Table'!F399)))</f>
        <v>SB</v>
      </c>
      <c r="D402" s="106">
        <f ca="1">IF(ISBLANK(OFFSET('Data Table'!$A397,2,Settings!$G$5-1)),"",OFFSET('Data Table'!$A397,2,Settings!$G$5-1))</f>
        <v>19</v>
      </c>
      <c r="E402" s="106" t="str">
        <f ca="1">IF(ISBLANK(OFFSET('Data Table'!$A397,2,Settings!$G$5)),"",OFFSET('Data Table'!$A397,2,Settings!$G$5))</f>
        <v/>
      </c>
      <c r="F402" s="143" t="str">
        <f ca="1">IF(ISBLANK(OFFSET('Data Table'!$A397,2,Settings!$G$5+1)),"",OFFSET('Data Table'!$A397,2,Settings!$G$5+1))</f>
        <v/>
      </c>
      <c r="G402">
        <f t="shared" ca="1" si="6"/>
        <v>19</v>
      </c>
      <c r="H402">
        <f ca="1">IF(G402=-888,"",IF(G402=-999,Settings!$G$4,IF(AND($AA$6="Excluded",G402&gt;=Settings!$G$2),"",G402)))</f>
        <v>19</v>
      </c>
      <c r="I402">
        <f ca="1">IF(OR(G402=-999,G402=-888,AND($AA$6="Excluded",G402&gt;=Settings!$G$2)),"",G402)</f>
        <v>19</v>
      </c>
      <c r="O402" s="46"/>
    </row>
    <row r="403" spans="1:15" x14ac:dyDescent="0.2">
      <c r="A403" s="1">
        <v>398</v>
      </c>
      <c r="B403" t="str">
        <f>IF(ISERROR(MATCH(TRIM('Data Table'!D400),Settings!$G$15:$G$20,0)),TRIM('Data Table'!D400),LOOKUP(TRIM('Data Table'!D400),Settings!$G$15:$G$20,Settings!$H$15:$H$20))</f>
        <v>Cabarrus</v>
      </c>
      <c r="C403" t="str">
        <f>IF('Data Table'!F400="","SS",IF('Data Table'!F400="SF","SD",TRIM('Data Table'!F400)))</f>
        <v>SS</v>
      </c>
      <c r="D403" s="106" t="str">
        <f ca="1">IF(ISBLANK(OFFSET('Data Table'!$A398,2,Settings!$G$5-1)),"",OFFSET('Data Table'!$A398,2,Settings!$G$5-1))</f>
        <v/>
      </c>
      <c r="E403" s="106" t="str">
        <f ca="1">IF(ISBLANK(OFFSET('Data Table'!$A398,2,Settings!$G$5)),"",OFFSET('Data Table'!$A398,2,Settings!$G$5))</f>
        <v/>
      </c>
      <c r="F403" s="143">
        <f ca="1">IF(ISBLANK(OFFSET('Data Table'!$A398,2,Settings!$G$5+1)),"",OFFSET('Data Table'!$A398,2,Settings!$G$5+1))</f>
        <v>20</v>
      </c>
      <c r="G403">
        <f t="shared" ca="1" si="6"/>
        <v>20</v>
      </c>
      <c r="H403">
        <f ca="1">IF(G403=-888,"",IF(G403=-999,Settings!$G$4,IF(AND($AA$6="Excluded",G403&gt;=Settings!$G$2),"",G403)))</f>
        <v>20</v>
      </c>
      <c r="I403">
        <f ca="1">IF(OR(G403=-999,G403=-888,AND($AA$6="Excluded",G403&gt;=Settings!$G$2)),"",G403)</f>
        <v>20</v>
      </c>
      <c r="O403" s="46"/>
    </row>
    <row r="404" spans="1:15" x14ac:dyDescent="0.2">
      <c r="A404" s="1">
        <v>399</v>
      </c>
      <c r="B404" t="str">
        <f>IF(ISERROR(MATCH(TRIM('Data Table'!D401),Settings!$G$15:$G$20,0)),TRIM('Data Table'!D401),LOOKUP(TRIM('Data Table'!D401),Settings!$G$15:$G$20,Settings!$H$15:$H$20))</f>
        <v>New Hanover</v>
      </c>
      <c r="C404" t="str">
        <f>IF('Data Table'!F401="","SS",IF('Data Table'!F401="SF","SD",TRIM('Data Table'!F401)))</f>
        <v>SB</v>
      </c>
      <c r="D404" s="106">
        <f ca="1">IF(ISBLANK(OFFSET('Data Table'!$A399,2,Settings!$G$5-1)),"",OFFSET('Data Table'!$A399,2,Settings!$G$5-1))</f>
        <v>1.5</v>
      </c>
      <c r="E404" s="106" t="str">
        <f ca="1">IF(ISBLANK(OFFSET('Data Table'!$A399,2,Settings!$G$5)),"",OFFSET('Data Table'!$A399,2,Settings!$G$5))</f>
        <v/>
      </c>
      <c r="F404" s="143" t="str">
        <f ca="1">IF(ISBLANK(OFFSET('Data Table'!$A399,2,Settings!$G$5+1)),"",OFFSET('Data Table'!$A399,2,Settings!$G$5+1))</f>
        <v/>
      </c>
      <c r="G404">
        <f t="shared" ca="1" si="6"/>
        <v>1.5</v>
      </c>
      <c r="H404">
        <f ca="1">IF(G404=-888,"",IF(G404=-999,Settings!$G$4,IF(AND($AA$6="Excluded",G404&gt;=Settings!$G$2),"",G404)))</f>
        <v>1.5</v>
      </c>
      <c r="I404">
        <f ca="1">IF(OR(G404=-999,G404=-888,AND($AA$6="Excluded",G404&gt;=Settings!$G$2)),"",G404)</f>
        <v>1.5</v>
      </c>
      <c r="O404" s="46"/>
    </row>
    <row r="405" spans="1:15" x14ac:dyDescent="0.2">
      <c r="A405" s="1">
        <v>400</v>
      </c>
      <c r="B405" t="str">
        <f>IF(ISERROR(MATCH(TRIM('Data Table'!D402),Settings!$G$15:$G$20,0)),TRIM('Data Table'!D402),LOOKUP(TRIM('Data Table'!D402),Settings!$G$15:$G$20,Settings!$H$15:$H$20))</f>
        <v>New Hanover</v>
      </c>
      <c r="C405" t="str">
        <f>IF('Data Table'!F402="","SS",IF('Data Table'!F402="SF","SD",TRIM('Data Table'!F402)))</f>
        <v>SB</v>
      </c>
      <c r="D405" s="106">
        <f ca="1">IF(ISBLANK(OFFSET('Data Table'!$A400,2,Settings!$G$5-1)),"",OFFSET('Data Table'!$A400,2,Settings!$G$5-1))</f>
        <v>0.6</v>
      </c>
      <c r="E405" s="106" t="str">
        <f ca="1">IF(ISBLANK(OFFSET('Data Table'!$A400,2,Settings!$G$5)),"",OFFSET('Data Table'!$A400,2,Settings!$G$5))</f>
        <v/>
      </c>
      <c r="F405" s="143" t="str">
        <f ca="1">IF(ISBLANK(OFFSET('Data Table'!$A400,2,Settings!$G$5+1)),"",OFFSET('Data Table'!$A400,2,Settings!$G$5+1))</f>
        <v/>
      </c>
      <c r="G405">
        <f t="shared" ca="1" si="6"/>
        <v>0.6</v>
      </c>
      <c r="H405">
        <f ca="1">IF(G405=-888,"",IF(G405=-999,Settings!$G$4,IF(AND($AA$6="Excluded",G405&gt;=Settings!$G$2),"",G405)))</f>
        <v>0.6</v>
      </c>
      <c r="I405">
        <f ca="1">IF(OR(G405=-999,G405=-888,AND($AA$6="Excluded",G405&gt;=Settings!$G$2)),"",G405)</f>
        <v>0.6</v>
      </c>
      <c r="O405" s="46"/>
    </row>
    <row r="406" spans="1:15" x14ac:dyDescent="0.2">
      <c r="A406" s="1">
        <v>401</v>
      </c>
      <c r="B406" t="str">
        <f>IF(ISERROR(MATCH(TRIM('Data Table'!D403),Settings!$G$15:$G$20,0)),TRIM('Data Table'!D403),LOOKUP(TRIM('Data Table'!D403),Settings!$G$15:$G$20,Settings!$H$15:$H$20))</f>
        <v>New Hanover</v>
      </c>
      <c r="C406" t="str">
        <f>IF('Data Table'!F403="","SS",IF('Data Table'!F403="SF","SD",TRIM('Data Table'!F403)))</f>
        <v>SB</v>
      </c>
      <c r="D406" s="106">
        <f ca="1">IF(ISBLANK(OFFSET('Data Table'!$A401,2,Settings!$G$5-1)),"",OFFSET('Data Table'!$A401,2,Settings!$G$5-1))</f>
        <v>0.93</v>
      </c>
      <c r="E406" s="106" t="str">
        <f ca="1">IF(ISBLANK(OFFSET('Data Table'!$A401,2,Settings!$G$5)),"",OFFSET('Data Table'!$A401,2,Settings!$G$5))</f>
        <v/>
      </c>
      <c r="F406" s="143" t="str">
        <f ca="1">IF(ISBLANK(OFFSET('Data Table'!$A401,2,Settings!$G$5+1)),"",OFFSET('Data Table'!$A401,2,Settings!$G$5+1))</f>
        <v/>
      </c>
      <c r="G406">
        <f t="shared" ca="1" si="6"/>
        <v>0.93</v>
      </c>
      <c r="H406">
        <f ca="1">IF(G406=-888,"",IF(G406=-999,Settings!$G$4,IF(AND($AA$6="Excluded",G406&gt;=Settings!$G$2),"",G406)))</f>
        <v>0.93</v>
      </c>
      <c r="I406">
        <f ca="1">IF(OR(G406=-999,G406=-888,AND($AA$6="Excluded",G406&gt;=Settings!$G$2)),"",G406)</f>
        <v>0.93</v>
      </c>
      <c r="O406" s="46"/>
    </row>
    <row r="407" spans="1:15" x14ac:dyDescent="0.2">
      <c r="A407" s="1">
        <v>402</v>
      </c>
      <c r="B407" t="str">
        <f>IF(ISERROR(MATCH(TRIM('Data Table'!D404),Settings!$G$15:$G$20,0)),TRIM('Data Table'!D404),LOOKUP(TRIM('Data Table'!D404),Settings!$G$15:$G$20,Settings!$H$15:$H$20))</f>
        <v>Mecklenburg</v>
      </c>
      <c r="C407" t="str">
        <f>IF('Data Table'!F404="","SS",IF('Data Table'!F404="SF","SD",TRIM('Data Table'!F404)))</f>
        <v>SD</v>
      </c>
      <c r="D407" s="106" t="str">
        <f ca="1">IF(ISBLANK(OFFSET('Data Table'!$A402,2,Settings!$G$5-1)),"",OFFSET('Data Table'!$A402,2,Settings!$G$5-1))</f>
        <v/>
      </c>
      <c r="E407" s="106">
        <f ca="1">IF(ISBLANK(OFFSET('Data Table'!$A402,2,Settings!$G$5)),"",OFFSET('Data Table'!$A402,2,Settings!$G$5))</f>
        <v>7.1999999999999993</v>
      </c>
      <c r="F407" s="143" t="str">
        <f ca="1">IF(ISBLANK(OFFSET('Data Table'!$A402,2,Settings!$G$5+1)),"",OFFSET('Data Table'!$A402,2,Settings!$G$5+1))</f>
        <v/>
      </c>
      <c r="G407">
        <f t="shared" ca="1" si="6"/>
        <v>7.1999999999999993</v>
      </c>
      <c r="H407">
        <f ca="1">IF(G407=-888,"",IF(G407=-999,Settings!$G$4,IF(AND($AA$6="Excluded",G407&gt;=Settings!$G$2),"",G407)))</f>
        <v>7.1999999999999993</v>
      </c>
      <c r="I407">
        <f ca="1">IF(OR(G407=-999,G407=-888,AND($AA$6="Excluded",G407&gt;=Settings!$G$2)),"",G407)</f>
        <v>7.1999999999999993</v>
      </c>
      <c r="O407" s="46"/>
    </row>
    <row r="408" spans="1:15" x14ac:dyDescent="0.2">
      <c r="A408" s="1">
        <v>403</v>
      </c>
      <c r="B408" t="str">
        <f>IF(ISERROR(MATCH(TRIM('Data Table'!D405),Settings!$G$15:$G$20,0)),TRIM('Data Table'!D405),LOOKUP(TRIM('Data Table'!D405),Settings!$G$15:$G$20,Settings!$H$15:$H$20))</f>
        <v>Mecklenburg</v>
      </c>
      <c r="C408" t="str">
        <f>IF('Data Table'!F405="","SS",IF('Data Table'!F405="SF","SD",TRIM('Data Table'!F405)))</f>
        <v>SS</v>
      </c>
      <c r="D408" s="106" t="str">
        <f ca="1">IF(ISBLANK(OFFSET('Data Table'!$A403,2,Settings!$G$5-1)),"",OFFSET('Data Table'!$A403,2,Settings!$G$5-1))</f>
        <v/>
      </c>
      <c r="E408" s="106">
        <f ca="1">IF(ISBLANK(OFFSET('Data Table'!$A403,2,Settings!$G$5)),"",OFFSET('Data Table'!$A403,2,Settings!$G$5))</f>
        <v>9.2159999999999993</v>
      </c>
      <c r="F408" s="143" t="str">
        <f ca="1">IF(ISBLANK(OFFSET('Data Table'!$A403,2,Settings!$G$5+1)),"",OFFSET('Data Table'!$A403,2,Settings!$G$5+1))</f>
        <v/>
      </c>
      <c r="G408">
        <f t="shared" ca="1" si="6"/>
        <v>9.2159999999999993</v>
      </c>
      <c r="H408">
        <f ca="1">IF(G408=-888,"",IF(G408=-999,Settings!$G$4,IF(AND($AA$6="Excluded",G408&gt;=Settings!$G$2),"",G408)))</f>
        <v>9.2159999999999993</v>
      </c>
      <c r="I408">
        <f ca="1">IF(OR(G408=-999,G408=-888,AND($AA$6="Excluded",G408&gt;=Settings!$G$2)),"",G408)</f>
        <v>9.2159999999999993</v>
      </c>
      <c r="O408" s="46"/>
    </row>
    <row r="409" spans="1:15" x14ac:dyDescent="0.2">
      <c r="A409" s="1">
        <v>404</v>
      </c>
      <c r="B409" t="str">
        <f>IF(ISERROR(MATCH(TRIM('Data Table'!D406),Settings!$G$15:$G$20,0)),TRIM('Data Table'!D406),LOOKUP(TRIM('Data Table'!D406),Settings!$G$15:$G$20,Settings!$H$15:$H$20))</f>
        <v>Pitt</v>
      </c>
      <c r="C409" t="str">
        <f>IF('Data Table'!F406="","SS",IF('Data Table'!F406="SF","SD",TRIM('Data Table'!F406)))</f>
        <v>SS</v>
      </c>
      <c r="D409" s="106">
        <f ca="1">IF(ISBLANK(OFFSET('Data Table'!$A404,2,Settings!$G$5-1)),"",OFFSET('Data Table'!$A404,2,Settings!$G$5-1))</f>
        <v>14</v>
      </c>
      <c r="E409" s="106" t="str">
        <f ca="1">IF(ISBLANK(OFFSET('Data Table'!$A404,2,Settings!$G$5)),"",OFFSET('Data Table'!$A404,2,Settings!$G$5))</f>
        <v/>
      </c>
      <c r="F409" s="143" t="str">
        <f ca="1">IF(ISBLANK(OFFSET('Data Table'!$A404,2,Settings!$G$5+1)),"",OFFSET('Data Table'!$A404,2,Settings!$G$5+1))</f>
        <v/>
      </c>
      <c r="G409">
        <f t="shared" ca="1" si="6"/>
        <v>14</v>
      </c>
      <c r="H409">
        <f ca="1">IF(G409=-888,"",IF(G409=-999,Settings!$G$4,IF(AND($AA$6="Excluded",G409&gt;=Settings!$G$2),"",G409)))</f>
        <v>14</v>
      </c>
      <c r="I409">
        <f ca="1">IF(OR(G409=-999,G409=-888,AND($AA$6="Excluded",G409&gt;=Settings!$G$2)),"",G409)</f>
        <v>14</v>
      </c>
      <c r="O409" s="46"/>
    </row>
    <row r="410" spans="1:15" x14ac:dyDescent="0.2">
      <c r="A410" s="1">
        <v>405</v>
      </c>
      <c r="B410" t="str">
        <f>IF(ISERROR(MATCH(TRIM('Data Table'!D407),Settings!$G$15:$G$20,0)),TRIM('Data Table'!D407),LOOKUP(TRIM('Data Table'!D407),Settings!$G$15:$G$20,Settings!$H$15:$H$20))</f>
        <v>Mecklenburg</v>
      </c>
      <c r="C410" t="str">
        <f>IF('Data Table'!F407="","SS",IF('Data Table'!F407="SF","SD",TRIM('Data Table'!F407)))</f>
        <v>SS</v>
      </c>
      <c r="D410" s="106">
        <f ca="1">IF(ISBLANK(OFFSET('Data Table'!$A405,2,Settings!$G$5-1)),"",OFFSET('Data Table'!$A405,2,Settings!$G$5-1))</f>
        <v>15</v>
      </c>
      <c r="E410" s="106" t="str">
        <f ca="1">IF(ISBLANK(OFFSET('Data Table'!$A405,2,Settings!$G$5)),"",OFFSET('Data Table'!$A405,2,Settings!$G$5))</f>
        <v/>
      </c>
      <c r="F410" s="143" t="str">
        <f ca="1">IF(ISBLANK(OFFSET('Data Table'!$A405,2,Settings!$G$5+1)),"",OFFSET('Data Table'!$A405,2,Settings!$G$5+1))</f>
        <v/>
      </c>
      <c r="G410">
        <f t="shared" ca="1" si="6"/>
        <v>15</v>
      </c>
      <c r="H410">
        <f ca="1">IF(G410=-888,"",IF(G410=-999,Settings!$G$4,IF(AND($AA$6="Excluded",G410&gt;=Settings!$G$2),"",G410)))</f>
        <v>15</v>
      </c>
      <c r="I410">
        <f ca="1">IF(OR(G410=-999,G410=-888,AND($AA$6="Excluded",G410&gt;=Settings!$G$2)),"",G410)</f>
        <v>15</v>
      </c>
      <c r="O410" s="46"/>
    </row>
    <row r="411" spans="1:15" x14ac:dyDescent="0.2">
      <c r="A411" s="1">
        <v>406</v>
      </c>
      <c r="B411" t="str">
        <f>IF(ISERROR(MATCH(TRIM('Data Table'!D408),Settings!$G$15:$G$20,0)),TRIM('Data Table'!D408),LOOKUP(TRIM('Data Table'!D408),Settings!$G$15:$G$20,Settings!$H$15:$H$20))</f>
        <v>Mecklenburg</v>
      </c>
      <c r="C411" t="str">
        <f>IF('Data Table'!F408="","SS",IF('Data Table'!F408="SF","SD",TRIM('Data Table'!F408)))</f>
        <v>SS</v>
      </c>
      <c r="D411" s="106">
        <f ca="1">IF(ISBLANK(OFFSET('Data Table'!$A406,2,Settings!$G$5-1)),"",OFFSET('Data Table'!$A406,2,Settings!$G$5-1))</f>
        <v>10</v>
      </c>
      <c r="E411" s="106" t="str">
        <f ca="1">IF(ISBLANK(OFFSET('Data Table'!$A406,2,Settings!$G$5)),"",OFFSET('Data Table'!$A406,2,Settings!$G$5))</f>
        <v/>
      </c>
      <c r="F411" s="143" t="str">
        <f ca="1">IF(ISBLANK(OFFSET('Data Table'!$A406,2,Settings!$G$5+1)),"",OFFSET('Data Table'!$A406,2,Settings!$G$5+1))</f>
        <v/>
      </c>
      <c r="G411">
        <f t="shared" ca="1" si="6"/>
        <v>10</v>
      </c>
      <c r="H411">
        <f ca="1">IF(G411=-888,"",IF(G411=-999,Settings!$G$4,IF(AND($AA$6="Excluded",G411&gt;=Settings!$G$2),"",G411)))</f>
        <v>10</v>
      </c>
      <c r="I411">
        <f ca="1">IF(OR(G411=-999,G411=-888,AND($AA$6="Excluded",G411&gt;=Settings!$G$2)),"",G411)</f>
        <v>10</v>
      </c>
      <c r="O411" s="46"/>
    </row>
    <row r="412" spans="1:15" x14ac:dyDescent="0.2">
      <c r="A412" s="1">
        <v>407</v>
      </c>
      <c r="B412" t="str">
        <f>IF(ISERROR(MATCH(TRIM('Data Table'!D409),Settings!$G$15:$G$20,0)),TRIM('Data Table'!D409),LOOKUP(TRIM('Data Table'!D409),Settings!$G$15:$G$20,Settings!$H$15:$H$20))</f>
        <v>Mecklenburg</v>
      </c>
      <c r="C412" t="str">
        <f>IF('Data Table'!F409="","SS",IF('Data Table'!F409="SF","SD",TRIM('Data Table'!F409)))</f>
        <v>SS</v>
      </c>
      <c r="D412" s="106">
        <f ca="1">IF(ISBLANK(OFFSET('Data Table'!$A407,2,Settings!$G$5-1)),"",OFFSET('Data Table'!$A407,2,Settings!$G$5-1))</f>
        <v>18</v>
      </c>
      <c r="E412" s="106" t="str">
        <f ca="1">IF(ISBLANK(OFFSET('Data Table'!$A407,2,Settings!$G$5)),"",OFFSET('Data Table'!$A407,2,Settings!$G$5))</f>
        <v/>
      </c>
      <c r="F412" s="143" t="str">
        <f ca="1">IF(ISBLANK(OFFSET('Data Table'!$A407,2,Settings!$G$5+1)),"",OFFSET('Data Table'!$A407,2,Settings!$G$5+1))</f>
        <v/>
      </c>
      <c r="G412">
        <f t="shared" ca="1" si="6"/>
        <v>18</v>
      </c>
      <c r="H412">
        <f ca="1">IF(G412=-888,"",IF(G412=-999,Settings!$G$4,IF(AND($AA$6="Excluded",G412&gt;=Settings!$G$2),"",G412)))</f>
        <v>18</v>
      </c>
      <c r="I412">
        <f ca="1">IF(OR(G412=-999,G412=-888,AND($AA$6="Excluded",G412&gt;=Settings!$G$2)),"",G412)</f>
        <v>18</v>
      </c>
      <c r="O412" s="46"/>
    </row>
    <row r="413" spans="1:15" x14ac:dyDescent="0.2">
      <c r="A413" s="1">
        <v>408</v>
      </c>
      <c r="B413" t="str">
        <f>IF(ISERROR(MATCH(TRIM('Data Table'!D410),Settings!$G$15:$G$20,0)),TRIM('Data Table'!D410),LOOKUP(TRIM('Data Table'!D410),Settings!$G$15:$G$20,Settings!$H$15:$H$20))</f>
        <v>Mecklenburg</v>
      </c>
      <c r="C413" t="str">
        <f>IF('Data Table'!F410="","SS",IF('Data Table'!F410="SF","SD",TRIM('Data Table'!F410)))</f>
        <v>SS</v>
      </c>
      <c r="D413" s="106">
        <f ca="1">IF(ISBLANK(OFFSET('Data Table'!$A408,2,Settings!$G$5-1)),"",OFFSET('Data Table'!$A408,2,Settings!$G$5-1))</f>
        <v>12</v>
      </c>
      <c r="E413" s="106" t="str">
        <f ca="1">IF(ISBLANK(OFFSET('Data Table'!$A408,2,Settings!$G$5)),"",OFFSET('Data Table'!$A408,2,Settings!$G$5))</f>
        <v/>
      </c>
      <c r="F413" s="143" t="str">
        <f ca="1">IF(ISBLANK(OFFSET('Data Table'!$A408,2,Settings!$G$5+1)),"",OFFSET('Data Table'!$A408,2,Settings!$G$5+1))</f>
        <v/>
      </c>
      <c r="G413">
        <f t="shared" ca="1" si="6"/>
        <v>12</v>
      </c>
      <c r="H413">
        <f ca="1">IF(G413=-888,"",IF(G413=-999,Settings!$G$4,IF(AND($AA$6="Excluded",G413&gt;=Settings!$G$2),"",G413)))</f>
        <v>12</v>
      </c>
      <c r="I413">
        <f ca="1">IF(OR(G413=-999,G413=-888,AND($AA$6="Excluded",G413&gt;=Settings!$G$2)),"",G413)</f>
        <v>12</v>
      </c>
      <c r="O413" s="46"/>
    </row>
    <row r="414" spans="1:15" x14ac:dyDescent="0.2">
      <c r="A414" s="1">
        <v>409</v>
      </c>
      <c r="B414" t="str">
        <f>IF(ISERROR(MATCH(TRIM('Data Table'!D411),Settings!$G$15:$G$20,0)),TRIM('Data Table'!D411),LOOKUP(TRIM('Data Table'!D411),Settings!$G$15:$G$20,Settings!$H$15:$H$20))</f>
        <v>Mecklenburg</v>
      </c>
      <c r="C414" t="str">
        <f>IF('Data Table'!F411="","SS",IF('Data Table'!F411="SF","SD",TRIM('Data Table'!F411)))</f>
        <v>SD</v>
      </c>
      <c r="D414" s="106" t="str">
        <f ca="1">IF(ISBLANK(OFFSET('Data Table'!$A409,2,Settings!$G$5-1)),"",OFFSET('Data Table'!$A409,2,Settings!$G$5-1))</f>
        <v/>
      </c>
      <c r="E414" s="106" t="str">
        <f ca="1">IF(ISBLANK(OFFSET('Data Table'!$A409,2,Settings!$G$5)),"",OFFSET('Data Table'!$A409,2,Settings!$G$5))</f>
        <v/>
      </c>
      <c r="F414" s="143">
        <f ca="1">IF(ISBLANK(OFFSET('Data Table'!$A409,2,Settings!$G$5+1)),"",OFFSET('Data Table'!$A409,2,Settings!$G$5+1))</f>
        <v>20</v>
      </c>
      <c r="G414">
        <f t="shared" ca="1" si="6"/>
        <v>20</v>
      </c>
      <c r="H414">
        <f ca="1">IF(G414=-888,"",IF(G414=-999,Settings!$G$4,IF(AND($AA$6="Excluded",G414&gt;=Settings!$G$2),"",G414)))</f>
        <v>20</v>
      </c>
      <c r="I414">
        <f ca="1">IF(OR(G414=-999,G414=-888,AND($AA$6="Excluded",G414&gt;=Settings!$G$2)),"",G414)</f>
        <v>20</v>
      </c>
      <c r="O414" s="46"/>
    </row>
    <row r="415" spans="1:15" x14ac:dyDescent="0.2">
      <c r="A415" s="1">
        <v>410</v>
      </c>
      <c r="B415" t="str">
        <f>IF(ISERROR(MATCH(TRIM('Data Table'!D412),Settings!$G$15:$G$20,0)),TRIM('Data Table'!D412),LOOKUP(TRIM('Data Table'!D412),Settings!$G$15:$G$20,Settings!$H$15:$H$20))</f>
        <v>Mecklenburg</v>
      </c>
      <c r="C415" t="str">
        <f>IF('Data Table'!F412="","SS",IF('Data Table'!F412="SF","SD",TRIM('Data Table'!F412)))</f>
        <v>SD</v>
      </c>
      <c r="D415" s="106" t="str">
        <f ca="1">IF(ISBLANK(OFFSET('Data Table'!$A410,2,Settings!$G$5-1)),"",OFFSET('Data Table'!$A410,2,Settings!$G$5-1))</f>
        <v/>
      </c>
      <c r="E415" s="106" t="str">
        <f ca="1">IF(ISBLANK(OFFSET('Data Table'!$A410,2,Settings!$G$5)),"",OFFSET('Data Table'!$A410,2,Settings!$G$5))</f>
        <v/>
      </c>
      <c r="F415" s="143">
        <f ca="1">IF(ISBLANK(OFFSET('Data Table'!$A410,2,Settings!$G$5+1)),"",OFFSET('Data Table'!$A410,2,Settings!$G$5+1))</f>
        <v>20</v>
      </c>
      <c r="G415">
        <f t="shared" ca="1" si="6"/>
        <v>20</v>
      </c>
      <c r="H415">
        <f ca="1">IF(G415=-888,"",IF(G415=-999,Settings!$G$4,IF(AND($AA$6="Excluded",G415&gt;=Settings!$G$2),"",G415)))</f>
        <v>20</v>
      </c>
      <c r="I415">
        <f ca="1">IF(OR(G415=-999,G415=-888,AND($AA$6="Excluded",G415&gt;=Settings!$G$2)),"",G415)</f>
        <v>20</v>
      </c>
      <c r="O415" s="46"/>
    </row>
    <row r="416" spans="1:15" x14ac:dyDescent="0.2">
      <c r="A416" s="1">
        <v>411</v>
      </c>
      <c r="B416" t="str">
        <f>IF(ISERROR(MATCH(TRIM('Data Table'!D413),Settings!$G$15:$G$20,0)),TRIM('Data Table'!D413),LOOKUP(TRIM('Data Table'!D413),Settings!$G$15:$G$20,Settings!$H$15:$H$20))</f>
        <v>Rowan</v>
      </c>
      <c r="C416" t="str">
        <f>IF('Data Table'!F413="","SS",IF('Data Table'!F413="SF","SD",TRIM('Data Table'!F413)))</f>
        <v>SS</v>
      </c>
      <c r="D416" s="106">
        <f ca="1">IF(ISBLANK(OFFSET('Data Table'!$A411,2,Settings!$G$5-1)),"",OFFSET('Data Table'!$A411,2,Settings!$G$5-1))</f>
        <v>9.3000000000000007</v>
      </c>
      <c r="E416" s="106" t="str">
        <f ca="1">IF(ISBLANK(OFFSET('Data Table'!$A411,2,Settings!$G$5)),"",OFFSET('Data Table'!$A411,2,Settings!$G$5))</f>
        <v/>
      </c>
      <c r="F416" s="143" t="str">
        <f ca="1">IF(ISBLANK(OFFSET('Data Table'!$A411,2,Settings!$G$5+1)),"",OFFSET('Data Table'!$A411,2,Settings!$G$5+1))</f>
        <v/>
      </c>
      <c r="G416">
        <f t="shared" ca="1" si="6"/>
        <v>9.3000000000000007</v>
      </c>
      <c r="H416">
        <f ca="1">IF(G416=-888,"",IF(G416=-999,Settings!$G$4,IF(AND($AA$6="Excluded",G416&gt;=Settings!$G$2),"",G416)))</f>
        <v>9.3000000000000007</v>
      </c>
      <c r="I416">
        <f ca="1">IF(OR(G416=-999,G416=-888,AND($AA$6="Excluded",G416&gt;=Settings!$G$2)),"",G416)</f>
        <v>9.3000000000000007</v>
      </c>
      <c r="O416" s="46"/>
    </row>
    <row r="417" spans="1:15" x14ac:dyDescent="0.2">
      <c r="A417" s="1">
        <v>412</v>
      </c>
      <c r="B417" t="str">
        <f>IF(ISERROR(MATCH(TRIM('Data Table'!D414),Settings!$G$15:$G$20,0)),TRIM('Data Table'!D414),LOOKUP(TRIM('Data Table'!D414),Settings!$G$15:$G$20,Settings!$H$15:$H$20))</f>
        <v>Rockingham</v>
      </c>
      <c r="C417" t="str">
        <f>IF('Data Table'!F414="","SS",IF('Data Table'!F414="SF","SD",TRIM('Data Table'!F414)))</f>
        <v>SS</v>
      </c>
      <c r="D417" s="106" t="str">
        <f ca="1">IF(ISBLANK(OFFSET('Data Table'!$A412,2,Settings!$G$5-1)),"",OFFSET('Data Table'!$A412,2,Settings!$G$5-1))</f>
        <v/>
      </c>
      <c r="E417" s="106">
        <f ca="1">IF(ISBLANK(OFFSET('Data Table'!$A412,2,Settings!$G$5)),"",OFFSET('Data Table'!$A412,2,Settings!$G$5))</f>
        <v>33.119999999999997</v>
      </c>
      <c r="F417" s="143" t="str">
        <f ca="1">IF(ISBLANK(OFFSET('Data Table'!$A412,2,Settings!$G$5+1)),"",OFFSET('Data Table'!$A412,2,Settings!$G$5+1))</f>
        <v/>
      </c>
      <c r="G417">
        <f t="shared" ca="1" si="6"/>
        <v>33.119999999999997</v>
      </c>
      <c r="H417">
        <f ca="1">IF(G417=-888,"",IF(G417=-999,Settings!$G$4,IF(AND($AA$6="Excluded",G417&gt;=Settings!$G$2),"",G417)))</f>
        <v>33.119999999999997</v>
      </c>
      <c r="I417">
        <f ca="1">IF(OR(G417=-999,G417=-888,AND($AA$6="Excluded",G417&gt;=Settings!$G$2)),"",G417)</f>
        <v>33.119999999999997</v>
      </c>
      <c r="O417" s="46"/>
    </row>
    <row r="418" spans="1:15" x14ac:dyDescent="0.2">
      <c r="A418" s="1">
        <v>413</v>
      </c>
      <c r="B418" t="str">
        <f>IF(ISERROR(MATCH(TRIM('Data Table'!D415),Settings!$G$15:$G$20,0)),TRIM('Data Table'!D415),LOOKUP(TRIM('Data Table'!D415),Settings!$G$15:$G$20,Settings!$H$15:$H$20))</f>
        <v>Rockingham</v>
      </c>
      <c r="C418" t="str">
        <f>IF('Data Table'!F415="","SS",IF('Data Table'!F415="SF","SD",TRIM('Data Table'!F415)))</f>
        <v>SD</v>
      </c>
      <c r="D418" s="106" t="str">
        <f ca="1">IF(ISBLANK(OFFSET('Data Table'!$A413,2,Settings!$G$5-1)),"",OFFSET('Data Table'!$A413,2,Settings!$G$5-1))</f>
        <v/>
      </c>
      <c r="E418" s="106" t="str">
        <f ca="1">IF(ISBLANK(OFFSET('Data Table'!$A413,2,Settings!$G$5)),"",OFFSET('Data Table'!$A413,2,Settings!$G$5))</f>
        <v/>
      </c>
      <c r="F418" s="143">
        <f ca="1">IF(ISBLANK(OFFSET('Data Table'!$A413,2,Settings!$G$5+1)),"",OFFSET('Data Table'!$A413,2,Settings!$G$5+1))</f>
        <v>0.5</v>
      </c>
      <c r="G418">
        <f t="shared" ca="1" si="6"/>
        <v>0.5</v>
      </c>
      <c r="H418">
        <f ca="1">IF(G418=-888,"",IF(G418=-999,Settings!$G$4,IF(AND($AA$6="Excluded",G418&gt;=Settings!$G$2),"",G418)))</f>
        <v>0.5</v>
      </c>
      <c r="I418">
        <f ca="1">IF(OR(G418=-999,G418=-888,AND($AA$6="Excluded",G418&gt;=Settings!$G$2)),"",G418)</f>
        <v>0.5</v>
      </c>
      <c r="O418" s="46"/>
    </row>
    <row r="419" spans="1:15" x14ac:dyDescent="0.2">
      <c r="A419" s="1">
        <v>414</v>
      </c>
      <c r="B419" t="str">
        <f>IF(ISERROR(MATCH(TRIM('Data Table'!D416),Settings!$G$15:$G$20,0)),TRIM('Data Table'!D416),LOOKUP(TRIM('Data Table'!D416),Settings!$G$15:$G$20,Settings!$H$15:$H$20))</f>
        <v>Henderson</v>
      </c>
      <c r="C419" t="str">
        <f>IF('Data Table'!F416="","SS",IF('Data Table'!F416="SF","SD",TRIM('Data Table'!F416)))</f>
        <v>SS</v>
      </c>
      <c r="D419" s="106" t="str">
        <f ca="1">IF(ISBLANK(OFFSET('Data Table'!$A414,2,Settings!$G$5-1)),"",OFFSET('Data Table'!$A414,2,Settings!$G$5-1))</f>
        <v/>
      </c>
      <c r="E419" s="106" t="str">
        <f ca="1">IF(ISBLANK(OFFSET('Data Table'!$A414,2,Settings!$G$5)),"",OFFSET('Data Table'!$A414,2,Settings!$G$5))</f>
        <v/>
      </c>
      <c r="F419" s="143">
        <f ca="1">IF(ISBLANK(OFFSET('Data Table'!$A414,2,Settings!$G$5+1)),"",OFFSET('Data Table'!$A414,2,Settings!$G$5+1))</f>
        <v>1.25</v>
      </c>
      <c r="G419">
        <f t="shared" ca="1" si="6"/>
        <v>1.25</v>
      </c>
      <c r="H419">
        <f ca="1">IF(G419=-888,"",IF(G419=-999,Settings!$G$4,IF(AND($AA$6="Excluded",G419&gt;=Settings!$G$2),"",G419)))</f>
        <v>1.25</v>
      </c>
      <c r="I419">
        <f ca="1">IF(OR(G419=-999,G419=-888,AND($AA$6="Excluded",G419&gt;=Settings!$G$2)),"",G419)</f>
        <v>1.25</v>
      </c>
      <c r="O419" s="46"/>
    </row>
    <row r="420" spans="1:15" x14ac:dyDescent="0.2">
      <c r="A420" s="1">
        <v>415</v>
      </c>
      <c r="B420" t="str">
        <f>IF(ISERROR(MATCH(TRIM('Data Table'!D417),Settings!$G$15:$G$20,0)),TRIM('Data Table'!D417),LOOKUP(TRIM('Data Table'!D417),Settings!$G$15:$G$20,Settings!$H$15:$H$20))</f>
        <v>Columbus</v>
      </c>
      <c r="C420" t="str">
        <f>IF('Data Table'!F417="","SS",IF('Data Table'!F417="SF","SD",TRIM('Data Table'!F417)))</f>
        <v>SD</v>
      </c>
      <c r="D420" s="106">
        <f ca="1">IF(ISBLANK(OFFSET('Data Table'!$A415,2,Settings!$G$5-1)),"",OFFSET('Data Table'!$A415,2,Settings!$G$5-1))</f>
        <v>190</v>
      </c>
      <c r="E420" s="106" t="str">
        <f ca="1">IF(ISBLANK(OFFSET('Data Table'!$A415,2,Settings!$G$5)),"",OFFSET('Data Table'!$A415,2,Settings!$G$5))</f>
        <v/>
      </c>
      <c r="F420" s="143" t="str">
        <f ca="1">IF(ISBLANK(OFFSET('Data Table'!$A415,2,Settings!$G$5+1)),"",OFFSET('Data Table'!$A415,2,Settings!$G$5+1))</f>
        <v/>
      </c>
      <c r="G420">
        <f t="shared" ca="1" si="6"/>
        <v>190</v>
      </c>
      <c r="H420">
        <f ca="1">IF(G420=-888,"",IF(G420=-999,Settings!$G$4,IF(AND($AA$6="Excluded",G420&gt;=Settings!$G$2),"",G420)))</f>
        <v>190</v>
      </c>
      <c r="I420">
        <f ca="1">IF(OR(G420=-999,G420=-888,AND($AA$6="Excluded",G420&gt;=Settings!$G$2)),"",G420)</f>
        <v>190</v>
      </c>
      <c r="O420" s="46"/>
    </row>
    <row r="421" spans="1:15" x14ac:dyDescent="0.2">
      <c r="A421" s="1">
        <v>416</v>
      </c>
      <c r="B421" t="str">
        <f>IF(ISERROR(MATCH(TRIM('Data Table'!D418),Settings!$G$15:$G$20,0)),TRIM('Data Table'!D418),LOOKUP(TRIM('Data Table'!D418),Settings!$G$15:$G$20,Settings!$H$15:$H$20))</f>
        <v>Columbus</v>
      </c>
      <c r="C421" t="str">
        <f>IF('Data Table'!F418="","SS",IF('Data Table'!F418="SF","SD",TRIM('Data Table'!F418)))</f>
        <v>SS</v>
      </c>
      <c r="D421" s="106">
        <f ca="1">IF(ISBLANK(OFFSET('Data Table'!$A416,2,Settings!$G$5-1)),"",OFFSET('Data Table'!$A416,2,Settings!$G$5-1))</f>
        <v>20</v>
      </c>
      <c r="E421" s="106" t="str">
        <f ca="1">IF(ISBLANK(OFFSET('Data Table'!$A416,2,Settings!$G$5)),"",OFFSET('Data Table'!$A416,2,Settings!$G$5))</f>
        <v/>
      </c>
      <c r="F421" s="143" t="str">
        <f ca="1">IF(ISBLANK(OFFSET('Data Table'!$A416,2,Settings!$G$5+1)),"",OFFSET('Data Table'!$A416,2,Settings!$G$5+1))</f>
        <v/>
      </c>
      <c r="G421">
        <f t="shared" ca="1" si="6"/>
        <v>20</v>
      </c>
      <c r="H421">
        <f ca="1">IF(G421=-888,"",IF(G421=-999,Settings!$G$4,IF(AND($AA$6="Excluded",G421&gt;=Settings!$G$2),"",G421)))</f>
        <v>20</v>
      </c>
      <c r="I421">
        <f ca="1">IF(OR(G421=-999,G421=-888,AND($AA$6="Excluded",G421&gt;=Settings!$G$2)),"",G421)</f>
        <v>20</v>
      </c>
      <c r="O421" s="46"/>
    </row>
    <row r="422" spans="1:15" x14ac:dyDescent="0.2">
      <c r="A422" s="1">
        <v>417</v>
      </c>
      <c r="B422" t="str">
        <f>IF(ISERROR(MATCH(TRIM('Data Table'!D419),Settings!$G$15:$G$20,0)),TRIM('Data Table'!D419),LOOKUP(TRIM('Data Table'!D419),Settings!$G$15:$G$20,Settings!$H$15:$H$20))</f>
        <v>Columbus</v>
      </c>
      <c r="C422" t="str">
        <f>IF('Data Table'!F419="","SS",IF('Data Table'!F419="SF","SD",TRIM('Data Table'!F419)))</f>
        <v>SD</v>
      </c>
      <c r="D422" s="106">
        <f ca="1">IF(ISBLANK(OFFSET('Data Table'!$A417,2,Settings!$G$5-1)),"",OFFSET('Data Table'!$A417,2,Settings!$G$5-1))</f>
        <v>12</v>
      </c>
      <c r="E422" s="106" t="str">
        <f ca="1">IF(ISBLANK(OFFSET('Data Table'!$A417,2,Settings!$G$5)),"",OFFSET('Data Table'!$A417,2,Settings!$G$5))</f>
        <v/>
      </c>
      <c r="F422" s="143" t="str">
        <f ca="1">IF(ISBLANK(OFFSET('Data Table'!$A417,2,Settings!$G$5+1)),"",OFFSET('Data Table'!$A417,2,Settings!$G$5+1))</f>
        <v/>
      </c>
      <c r="G422">
        <f t="shared" ca="1" si="6"/>
        <v>12</v>
      </c>
      <c r="H422">
        <f ca="1">IF(G422=-888,"",IF(G422=-999,Settings!$G$4,IF(AND($AA$6="Excluded",G422&gt;=Settings!$G$2),"",G422)))</f>
        <v>12</v>
      </c>
      <c r="I422">
        <f ca="1">IF(OR(G422=-999,G422=-888,AND($AA$6="Excluded",G422&gt;=Settings!$G$2)),"",G422)</f>
        <v>12</v>
      </c>
      <c r="O422" s="46"/>
    </row>
    <row r="423" spans="1:15" x14ac:dyDescent="0.2">
      <c r="A423" s="1">
        <v>418</v>
      </c>
      <c r="B423" t="str">
        <f>IF(ISERROR(MATCH(TRIM('Data Table'!D420),Settings!$G$15:$G$20,0)),TRIM('Data Table'!D420),LOOKUP(TRIM('Data Table'!D420),Settings!$G$15:$G$20,Settings!$H$15:$H$20))</f>
        <v>Cleveland</v>
      </c>
      <c r="C423" t="str">
        <f>IF('Data Table'!F420="","SS",IF('Data Table'!F420="SF","SD",TRIM('Data Table'!F420)))</f>
        <v>SS</v>
      </c>
      <c r="D423" s="106">
        <f ca="1">IF(ISBLANK(OFFSET('Data Table'!$A418,2,Settings!$G$5-1)),"",OFFSET('Data Table'!$A418,2,Settings!$G$5-1))</f>
        <v>20</v>
      </c>
      <c r="E423" s="106" t="str">
        <f ca="1">IF(ISBLANK(OFFSET('Data Table'!$A418,2,Settings!$G$5)),"",OFFSET('Data Table'!$A418,2,Settings!$G$5))</f>
        <v/>
      </c>
      <c r="F423" s="143" t="str">
        <f ca="1">IF(ISBLANK(OFFSET('Data Table'!$A418,2,Settings!$G$5+1)),"",OFFSET('Data Table'!$A418,2,Settings!$G$5+1))</f>
        <v/>
      </c>
      <c r="G423">
        <f t="shared" ca="1" si="6"/>
        <v>20</v>
      </c>
      <c r="H423">
        <f ca="1">IF(G423=-888,"",IF(G423=-999,Settings!$G$4,IF(AND($AA$6="Excluded",G423&gt;=Settings!$G$2),"",G423)))</f>
        <v>20</v>
      </c>
      <c r="I423">
        <f ca="1">IF(OR(G423=-999,G423=-888,AND($AA$6="Excluded",G423&gt;=Settings!$G$2)),"",G423)</f>
        <v>20</v>
      </c>
      <c r="O423" s="46"/>
    </row>
    <row r="424" spans="1:15" x14ac:dyDescent="0.2">
      <c r="A424" s="1">
        <v>419</v>
      </c>
      <c r="B424" t="str">
        <f>IF(ISERROR(MATCH(TRIM('Data Table'!D421),Settings!$G$15:$G$20,0)),TRIM('Data Table'!D421),LOOKUP(TRIM('Data Table'!D421),Settings!$G$15:$G$20,Settings!$H$15:$H$20))</f>
        <v>Cleveland</v>
      </c>
      <c r="C424" t="str">
        <f>IF('Data Table'!F421="","SS",IF('Data Table'!F421="SF","SD",TRIM('Data Table'!F421)))</f>
        <v>SB</v>
      </c>
      <c r="D424" s="106">
        <f ca="1">IF(ISBLANK(OFFSET('Data Table'!$A419,2,Settings!$G$5-1)),"",OFFSET('Data Table'!$A419,2,Settings!$G$5-1))</f>
        <v>40</v>
      </c>
      <c r="E424" s="106" t="str">
        <f ca="1">IF(ISBLANK(OFFSET('Data Table'!$A419,2,Settings!$G$5)),"",OFFSET('Data Table'!$A419,2,Settings!$G$5))</f>
        <v/>
      </c>
      <c r="F424" s="143" t="str">
        <f ca="1">IF(ISBLANK(OFFSET('Data Table'!$A419,2,Settings!$G$5+1)),"",OFFSET('Data Table'!$A419,2,Settings!$G$5+1))</f>
        <v/>
      </c>
      <c r="G424">
        <f t="shared" ca="1" si="6"/>
        <v>40</v>
      </c>
      <c r="H424">
        <f ca="1">IF(G424=-888,"",IF(G424=-999,Settings!$G$4,IF(AND($AA$6="Excluded",G424&gt;=Settings!$G$2),"",G424)))</f>
        <v>40</v>
      </c>
      <c r="I424">
        <f ca="1">IF(OR(G424=-999,G424=-888,AND($AA$6="Excluded",G424&gt;=Settings!$G$2)),"",G424)</f>
        <v>40</v>
      </c>
      <c r="O424" s="46"/>
    </row>
    <row r="425" spans="1:15" x14ac:dyDescent="0.2">
      <c r="A425" s="1">
        <v>420</v>
      </c>
      <c r="B425" t="str">
        <f>IF(ISERROR(MATCH(TRIM('Data Table'!D422),Settings!$G$15:$G$20,0)),TRIM('Data Table'!D422),LOOKUP(TRIM('Data Table'!D422),Settings!$G$15:$G$20,Settings!$H$15:$H$20))</f>
        <v>Pitt</v>
      </c>
      <c r="C425" t="str">
        <f>IF('Data Table'!F422="","SS",IF('Data Table'!F422="SF","SD",TRIM('Data Table'!F422)))</f>
        <v>SS</v>
      </c>
      <c r="D425" s="106">
        <f ca="1">IF(ISBLANK(OFFSET('Data Table'!$A420,2,Settings!$G$5-1)),"",OFFSET('Data Table'!$A420,2,Settings!$G$5-1))</f>
        <v>21</v>
      </c>
      <c r="E425" s="106" t="str">
        <f ca="1">IF(ISBLANK(OFFSET('Data Table'!$A420,2,Settings!$G$5)),"",OFFSET('Data Table'!$A420,2,Settings!$G$5))</f>
        <v/>
      </c>
      <c r="F425" s="143" t="str">
        <f ca="1">IF(ISBLANK(OFFSET('Data Table'!$A420,2,Settings!$G$5+1)),"",OFFSET('Data Table'!$A420,2,Settings!$G$5+1))</f>
        <v/>
      </c>
      <c r="G425">
        <f t="shared" ca="1" si="6"/>
        <v>21</v>
      </c>
      <c r="H425">
        <f ca="1">IF(G425=-888,"",IF(G425=-999,Settings!$G$4,IF(AND($AA$6="Excluded",G425&gt;=Settings!$G$2),"",G425)))</f>
        <v>21</v>
      </c>
      <c r="I425">
        <f ca="1">IF(OR(G425=-999,G425=-888,AND($AA$6="Excluded",G425&gt;=Settings!$G$2)),"",G425)</f>
        <v>21</v>
      </c>
      <c r="O425" s="46"/>
    </row>
    <row r="426" spans="1:15" x14ac:dyDescent="0.2">
      <c r="A426" s="1">
        <v>421</v>
      </c>
      <c r="B426" t="str">
        <f>IF(ISERROR(MATCH(TRIM('Data Table'!D423),Settings!$G$15:$G$20,0)),TRIM('Data Table'!D423),LOOKUP(TRIM('Data Table'!D423),Settings!$G$15:$G$20,Settings!$H$15:$H$20))</f>
        <v>Wake</v>
      </c>
      <c r="C426" t="str">
        <f>IF('Data Table'!F423="","SS",IF('Data Table'!F423="SF","SD",TRIM('Data Table'!F423)))</f>
        <v>SD</v>
      </c>
      <c r="D426" s="106">
        <f ca="1">IF(ISBLANK(OFFSET('Data Table'!$A421,2,Settings!$G$5-1)),"",OFFSET('Data Table'!$A421,2,Settings!$G$5-1))</f>
        <v>24</v>
      </c>
      <c r="E426" s="106" t="str">
        <f ca="1">IF(ISBLANK(OFFSET('Data Table'!$A421,2,Settings!$G$5)),"",OFFSET('Data Table'!$A421,2,Settings!$G$5))</f>
        <v/>
      </c>
      <c r="F426" s="143" t="str">
        <f ca="1">IF(ISBLANK(OFFSET('Data Table'!$A421,2,Settings!$G$5+1)),"",OFFSET('Data Table'!$A421,2,Settings!$G$5+1))</f>
        <v/>
      </c>
      <c r="G426">
        <f t="shared" ca="1" si="6"/>
        <v>24</v>
      </c>
      <c r="H426">
        <f ca="1">IF(G426=-888,"",IF(G426=-999,Settings!$G$4,IF(AND($AA$6="Excluded",G426&gt;=Settings!$G$2),"",G426)))</f>
        <v>24</v>
      </c>
      <c r="I426">
        <f ca="1">IF(OR(G426=-999,G426=-888,AND($AA$6="Excluded",G426&gt;=Settings!$G$2)),"",G426)</f>
        <v>24</v>
      </c>
      <c r="O426" s="46"/>
    </row>
    <row r="427" spans="1:15" x14ac:dyDescent="0.2">
      <c r="A427" s="1">
        <v>422</v>
      </c>
      <c r="B427" t="str">
        <f>IF(ISERROR(MATCH(TRIM('Data Table'!D424),Settings!$G$15:$G$20,0)),TRIM('Data Table'!D424),LOOKUP(TRIM('Data Table'!D424),Settings!$G$15:$G$20,Settings!$H$15:$H$20))</f>
        <v>Person</v>
      </c>
      <c r="C427" t="str">
        <f>IF('Data Table'!F424="","SS",IF('Data Table'!F424="SF","SD",TRIM('Data Table'!F424)))</f>
        <v>SS</v>
      </c>
      <c r="D427" s="106">
        <f ca="1">IF(ISBLANK(OFFSET('Data Table'!$A422,2,Settings!$G$5-1)),"",OFFSET('Data Table'!$A422,2,Settings!$G$5-1))</f>
        <v>14.6</v>
      </c>
      <c r="E427" s="106" t="str">
        <f ca="1">IF(ISBLANK(OFFSET('Data Table'!$A422,2,Settings!$G$5)),"",OFFSET('Data Table'!$A422,2,Settings!$G$5))</f>
        <v/>
      </c>
      <c r="F427" s="143" t="str">
        <f ca="1">IF(ISBLANK(OFFSET('Data Table'!$A422,2,Settings!$G$5+1)),"",OFFSET('Data Table'!$A422,2,Settings!$G$5+1))</f>
        <v/>
      </c>
      <c r="G427">
        <f t="shared" ca="1" si="6"/>
        <v>14.6</v>
      </c>
      <c r="H427">
        <f ca="1">IF(G427=-888,"",IF(G427=-999,Settings!$G$4,IF(AND($AA$6="Excluded",G427&gt;=Settings!$G$2),"",G427)))</f>
        <v>14.6</v>
      </c>
      <c r="I427">
        <f ca="1">IF(OR(G427=-999,G427=-888,AND($AA$6="Excluded",G427&gt;=Settings!$G$2)),"",G427)</f>
        <v>14.6</v>
      </c>
      <c r="O427" s="46"/>
    </row>
    <row r="428" spans="1:15" x14ac:dyDescent="0.2">
      <c r="A428" s="1">
        <v>423</v>
      </c>
      <c r="B428" t="str">
        <f>IF(ISERROR(MATCH(TRIM('Data Table'!D425),Settings!$G$15:$G$20,0)),TRIM('Data Table'!D425),LOOKUP(TRIM('Data Table'!D425),Settings!$G$15:$G$20,Settings!$H$15:$H$20))</f>
        <v>Mecklenburg</v>
      </c>
      <c r="C428" t="str">
        <f>IF('Data Table'!F425="","SS",IF('Data Table'!F425="SF","SD",TRIM('Data Table'!F425)))</f>
        <v>SS</v>
      </c>
      <c r="D428" s="106" t="str">
        <f ca="1">IF(ISBLANK(OFFSET('Data Table'!$A423,2,Settings!$G$5-1)),"",OFFSET('Data Table'!$A423,2,Settings!$G$5-1))</f>
        <v/>
      </c>
      <c r="E428" s="106" t="str">
        <f ca="1">IF(ISBLANK(OFFSET('Data Table'!$A423,2,Settings!$G$5)),"",OFFSET('Data Table'!$A423,2,Settings!$G$5))</f>
        <v/>
      </c>
      <c r="F428" s="143">
        <f ca="1">IF(ISBLANK(OFFSET('Data Table'!$A423,2,Settings!$G$5+1)),"",OFFSET('Data Table'!$A423,2,Settings!$G$5+1))</f>
        <v>20</v>
      </c>
      <c r="G428">
        <f t="shared" ca="1" si="6"/>
        <v>20</v>
      </c>
      <c r="H428">
        <f ca="1">IF(G428=-888,"",IF(G428=-999,Settings!$G$4,IF(AND($AA$6="Excluded",G428&gt;=Settings!$G$2),"",G428)))</f>
        <v>20</v>
      </c>
      <c r="I428">
        <f ca="1">IF(OR(G428=-999,G428=-888,AND($AA$6="Excluded",G428&gt;=Settings!$G$2)),"",G428)</f>
        <v>20</v>
      </c>
      <c r="O428" s="46"/>
    </row>
    <row r="429" spans="1:15" x14ac:dyDescent="0.2">
      <c r="A429" s="1">
        <v>424</v>
      </c>
      <c r="B429" t="str">
        <f>IF(ISERROR(MATCH(TRIM('Data Table'!D426),Settings!$G$15:$G$20,0)),TRIM('Data Table'!D426),LOOKUP(TRIM('Data Table'!D426),Settings!$G$15:$G$20,Settings!$H$15:$H$20))</f>
        <v>New Hanover</v>
      </c>
      <c r="C429" t="str">
        <f>IF('Data Table'!F426="","SS",IF('Data Table'!F426="SF","SD",TRIM('Data Table'!F426)))</f>
        <v>SB</v>
      </c>
      <c r="D429" s="106" t="str">
        <f ca="1">IF(ISBLANK(OFFSET('Data Table'!$A424,2,Settings!$G$5-1)),"",OFFSET('Data Table'!$A424,2,Settings!$G$5-1))</f>
        <v/>
      </c>
      <c r="E429" s="106" t="str">
        <f ca="1">IF(ISBLANK(OFFSET('Data Table'!$A424,2,Settings!$G$5)),"",OFFSET('Data Table'!$A424,2,Settings!$G$5))</f>
        <v/>
      </c>
      <c r="F429" s="143">
        <f ca="1">IF(ISBLANK(OFFSET('Data Table'!$A424,2,Settings!$G$5+1)),"",OFFSET('Data Table'!$A424,2,Settings!$G$5+1))</f>
        <v>5</v>
      </c>
      <c r="G429">
        <f t="shared" ca="1" si="6"/>
        <v>5</v>
      </c>
      <c r="H429">
        <f ca="1">IF(G429=-888,"",IF(G429=-999,Settings!$G$4,IF(AND($AA$6="Excluded",G429&gt;=Settings!$G$2),"",G429)))</f>
        <v>5</v>
      </c>
      <c r="I429">
        <f ca="1">IF(OR(G429=-999,G429=-888,AND($AA$6="Excluded",G429&gt;=Settings!$G$2)),"",G429)</f>
        <v>5</v>
      </c>
      <c r="O429" s="46"/>
    </row>
    <row r="430" spans="1:15" x14ac:dyDescent="0.2">
      <c r="A430" s="1">
        <v>425</v>
      </c>
      <c r="B430" t="str">
        <f>IF(ISERROR(MATCH(TRIM('Data Table'!D427),Settings!$G$15:$G$20,0)),TRIM('Data Table'!D427),LOOKUP(TRIM('Data Table'!D427),Settings!$G$15:$G$20,Settings!$H$15:$H$20))</f>
        <v>Mecklenburg</v>
      </c>
      <c r="C430" t="str">
        <f>IF('Data Table'!F427="","SS",IF('Data Table'!F427="SF","SD",TRIM('Data Table'!F427)))</f>
        <v>SS</v>
      </c>
      <c r="D430" s="106">
        <f ca="1">IF(ISBLANK(OFFSET('Data Table'!$A425,2,Settings!$G$5-1)),"",OFFSET('Data Table'!$A425,2,Settings!$G$5-1))</f>
        <v>29</v>
      </c>
      <c r="E430" s="106" t="str">
        <f ca="1">IF(ISBLANK(OFFSET('Data Table'!$A425,2,Settings!$G$5)),"",OFFSET('Data Table'!$A425,2,Settings!$G$5))</f>
        <v/>
      </c>
      <c r="F430" s="143" t="str">
        <f ca="1">IF(ISBLANK(OFFSET('Data Table'!$A425,2,Settings!$G$5+1)),"",OFFSET('Data Table'!$A425,2,Settings!$G$5+1))</f>
        <v/>
      </c>
      <c r="G430">
        <f t="shared" ca="1" si="6"/>
        <v>29</v>
      </c>
      <c r="H430">
        <f ca="1">IF(G430=-888,"",IF(G430=-999,Settings!$G$4,IF(AND($AA$6="Excluded",G430&gt;=Settings!$G$2),"",G430)))</f>
        <v>29</v>
      </c>
      <c r="I430">
        <f ca="1">IF(OR(G430=-999,G430=-888,AND($AA$6="Excluded",G430&gt;=Settings!$G$2)),"",G430)</f>
        <v>29</v>
      </c>
      <c r="O430" s="46"/>
    </row>
    <row r="431" spans="1:15" x14ac:dyDescent="0.2">
      <c r="A431" s="1">
        <v>426</v>
      </c>
      <c r="B431" t="str">
        <f>IF(ISERROR(MATCH(TRIM('Data Table'!D428),Settings!$G$15:$G$20,0)),TRIM('Data Table'!D428),LOOKUP(TRIM('Data Table'!D428),Settings!$G$15:$G$20,Settings!$H$15:$H$20))</f>
        <v>Mecklenburg</v>
      </c>
      <c r="C431" t="str">
        <f>IF('Data Table'!F428="","SS",IF('Data Table'!F428="SF","SD",TRIM('Data Table'!F428)))</f>
        <v>SB</v>
      </c>
      <c r="D431" s="106" t="str">
        <f ca="1">IF(ISBLANK(OFFSET('Data Table'!$A426,2,Settings!$G$5-1)),"",OFFSET('Data Table'!$A426,2,Settings!$G$5-1))</f>
        <v>#</v>
      </c>
      <c r="E431" s="106" t="str">
        <f ca="1">IF(ISBLANK(OFFSET('Data Table'!$A426,2,Settings!$G$5)),"",OFFSET('Data Table'!$A426,2,Settings!$G$5))</f>
        <v/>
      </c>
      <c r="F431" s="143" t="str">
        <f ca="1">IF(ISBLANK(OFFSET('Data Table'!$A426,2,Settings!$G$5+1)),"",OFFSET('Data Table'!$A426,2,Settings!$G$5+1))</f>
        <v/>
      </c>
      <c r="G431">
        <f t="shared" ca="1" si="6"/>
        <v>-999</v>
      </c>
      <c r="H431">
        <f ca="1">IF(G431=-888,"",IF(G431=-999,Settings!$G$4,IF(AND($AA$6="Excluded",G431&gt;=Settings!$G$2),"",G431)))</f>
        <v>5.0000000000000001E-3</v>
      </c>
      <c r="I431" t="str">
        <f ca="1">IF(OR(G431=-999,G431=-888,AND($AA$6="Excluded",G431&gt;=Settings!$G$2)),"",G431)</f>
        <v/>
      </c>
      <c r="O431" s="46"/>
    </row>
    <row r="432" spans="1:15" x14ac:dyDescent="0.2">
      <c r="A432" s="1">
        <v>427</v>
      </c>
      <c r="B432" t="str">
        <f>IF(ISERROR(MATCH(TRIM('Data Table'!D429),Settings!$G$15:$G$20,0)),TRIM('Data Table'!D429),LOOKUP(TRIM('Data Table'!D429),Settings!$G$15:$G$20,Settings!$H$15:$H$20))</f>
        <v>Mecklenburg</v>
      </c>
      <c r="C432" t="str">
        <f>IF('Data Table'!F429="","SS",IF('Data Table'!F429="SF","SD",TRIM('Data Table'!F429)))</f>
        <v>SS</v>
      </c>
      <c r="D432" s="106">
        <f ca="1">IF(ISBLANK(OFFSET('Data Table'!$A427,2,Settings!$G$5-1)),"",OFFSET('Data Table'!$A427,2,Settings!$G$5-1))</f>
        <v>44</v>
      </c>
      <c r="E432" s="106" t="str">
        <f ca="1">IF(ISBLANK(OFFSET('Data Table'!$A427,2,Settings!$G$5)),"",OFFSET('Data Table'!$A427,2,Settings!$G$5))</f>
        <v/>
      </c>
      <c r="F432" s="143" t="str">
        <f ca="1">IF(ISBLANK(OFFSET('Data Table'!$A427,2,Settings!$G$5+1)),"",OFFSET('Data Table'!$A427,2,Settings!$G$5+1))</f>
        <v/>
      </c>
      <c r="G432">
        <f t="shared" ca="1" si="6"/>
        <v>44</v>
      </c>
      <c r="H432">
        <f ca="1">IF(G432=-888,"",IF(G432=-999,Settings!$G$4,IF(AND($AA$6="Excluded",G432&gt;=Settings!$G$2),"",G432)))</f>
        <v>44</v>
      </c>
      <c r="I432">
        <f ca="1">IF(OR(G432=-999,G432=-888,AND($AA$6="Excluded",G432&gt;=Settings!$G$2)),"",G432)</f>
        <v>44</v>
      </c>
      <c r="O432" s="46"/>
    </row>
    <row r="433" spans="1:15" x14ac:dyDescent="0.2">
      <c r="A433" s="1">
        <v>428</v>
      </c>
      <c r="B433" t="str">
        <f>IF(ISERROR(MATCH(TRIM('Data Table'!D430),Settings!$G$15:$G$20,0)),TRIM('Data Table'!D430),LOOKUP(TRIM('Data Table'!D430),Settings!$G$15:$G$20,Settings!$H$15:$H$20))</f>
        <v>Mecklenburg</v>
      </c>
      <c r="C433" t="str">
        <f>IF('Data Table'!F430="","SS",IF('Data Table'!F430="SF","SD",TRIM('Data Table'!F430)))</f>
        <v>SB</v>
      </c>
      <c r="D433" s="106">
        <f ca="1">IF(ISBLANK(OFFSET('Data Table'!$A428,2,Settings!$G$5-1)),"",OFFSET('Data Table'!$A428,2,Settings!$G$5-1))</f>
        <v>11</v>
      </c>
      <c r="E433" s="106" t="str">
        <f ca="1">IF(ISBLANK(OFFSET('Data Table'!$A428,2,Settings!$G$5)),"",OFFSET('Data Table'!$A428,2,Settings!$G$5))</f>
        <v/>
      </c>
      <c r="F433" s="143" t="str">
        <f ca="1">IF(ISBLANK(OFFSET('Data Table'!$A428,2,Settings!$G$5+1)),"",OFFSET('Data Table'!$A428,2,Settings!$G$5+1))</f>
        <v/>
      </c>
      <c r="G433">
        <f t="shared" ca="1" si="6"/>
        <v>11</v>
      </c>
      <c r="H433">
        <f ca="1">IF(G433=-888,"",IF(G433=-999,Settings!$G$4,IF(AND($AA$6="Excluded",G433&gt;=Settings!$G$2),"",G433)))</f>
        <v>11</v>
      </c>
      <c r="I433">
        <f ca="1">IF(OR(G433=-999,G433=-888,AND($AA$6="Excluded",G433&gt;=Settings!$G$2)),"",G433)</f>
        <v>11</v>
      </c>
      <c r="O433" s="46"/>
    </row>
    <row r="434" spans="1:15" x14ac:dyDescent="0.2">
      <c r="A434" s="1">
        <v>429</v>
      </c>
      <c r="B434" t="str">
        <f>IF(ISERROR(MATCH(TRIM('Data Table'!D431),Settings!$G$15:$G$20,0)),TRIM('Data Table'!D431),LOOKUP(TRIM('Data Table'!D431),Settings!$G$15:$G$20,Settings!$H$15:$H$20))</f>
        <v>Mecklenburg</v>
      </c>
      <c r="C434" t="str">
        <f>IF('Data Table'!F431="","SS",IF('Data Table'!F431="SF","SD",TRIM('Data Table'!F431)))</f>
        <v>SS</v>
      </c>
      <c r="D434" s="106">
        <f ca="1">IF(ISBLANK(OFFSET('Data Table'!$A429,2,Settings!$G$5-1)),"",OFFSET('Data Table'!$A429,2,Settings!$G$5-1))</f>
        <v>6.7</v>
      </c>
      <c r="E434" s="106" t="str">
        <f ca="1">IF(ISBLANK(OFFSET('Data Table'!$A429,2,Settings!$G$5)),"",OFFSET('Data Table'!$A429,2,Settings!$G$5))</f>
        <v/>
      </c>
      <c r="F434" s="143" t="str">
        <f ca="1">IF(ISBLANK(OFFSET('Data Table'!$A429,2,Settings!$G$5+1)),"",OFFSET('Data Table'!$A429,2,Settings!$G$5+1))</f>
        <v/>
      </c>
      <c r="G434">
        <f t="shared" ca="1" si="6"/>
        <v>6.7</v>
      </c>
      <c r="H434">
        <f ca="1">IF(G434=-888,"",IF(G434=-999,Settings!$G$4,IF(AND($AA$6="Excluded",G434&gt;=Settings!$G$2),"",G434)))</f>
        <v>6.7</v>
      </c>
      <c r="I434">
        <f ca="1">IF(OR(G434=-999,G434=-888,AND($AA$6="Excluded",G434&gt;=Settings!$G$2)),"",G434)</f>
        <v>6.7</v>
      </c>
      <c r="O434" s="46"/>
    </row>
    <row r="435" spans="1:15" x14ac:dyDescent="0.2">
      <c r="A435" s="1">
        <v>430</v>
      </c>
      <c r="B435" t="str">
        <f>IF(ISERROR(MATCH(TRIM('Data Table'!D432),Settings!$G$15:$G$20,0)),TRIM('Data Table'!D432),LOOKUP(TRIM('Data Table'!D432),Settings!$G$15:$G$20,Settings!$H$15:$H$20))</f>
        <v>Mecklenburg</v>
      </c>
      <c r="C435" t="str">
        <f>IF('Data Table'!F432="","SS",IF('Data Table'!F432="SF","SD",TRIM('Data Table'!F432)))</f>
        <v>SB</v>
      </c>
      <c r="D435" s="106">
        <f ca="1">IF(ISBLANK(OFFSET('Data Table'!$A430,2,Settings!$G$5-1)),"",OFFSET('Data Table'!$A430,2,Settings!$G$5-1))</f>
        <v>6.7</v>
      </c>
      <c r="E435" s="106" t="str">
        <f ca="1">IF(ISBLANK(OFFSET('Data Table'!$A430,2,Settings!$G$5)),"",OFFSET('Data Table'!$A430,2,Settings!$G$5))</f>
        <v/>
      </c>
      <c r="F435" s="143" t="str">
        <f ca="1">IF(ISBLANK(OFFSET('Data Table'!$A430,2,Settings!$G$5+1)),"",OFFSET('Data Table'!$A430,2,Settings!$G$5+1))</f>
        <v/>
      </c>
      <c r="G435">
        <f t="shared" ca="1" si="6"/>
        <v>6.7</v>
      </c>
      <c r="H435">
        <f ca="1">IF(G435=-888,"",IF(G435=-999,Settings!$G$4,IF(AND($AA$6="Excluded",G435&gt;=Settings!$G$2),"",G435)))</f>
        <v>6.7</v>
      </c>
      <c r="I435">
        <f ca="1">IF(OR(G435=-999,G435=-888,AND($AA$6="Excluded",G435&gt;=Settings!$G$2)),"",G435)</f>
        <v>6.7</v>
      </c>
      <c r="O435" s="46"/>
    </row>
    <row r="436" spans="1:15" x14ac:dyDescent="0.2">
      <c r="A436" s="1">
        <v>431</v>
      </c>
      <c r="B436" t="str">
        <f>IF(ISERROR(MATCH(TRIM('Data Table'!D433),Settings!$G$15:$G$20,0)),TRIM('Data Table'!D433),LOOKUP(TRIM('Data Table'!D433),Settings!$G$15:$G$20,Settings!$H$15:$H$20))</f>
        <v>Mecklenburg</v>
      </c>
      <c r="C436" t="str">
        <f>IF('Data Table'!F433="","SS",IF('Data Table'!F433="SF","SD",TRIM('Data Table'!F433)))</f>
        <v>SD</v>
      </c>
      <c r="D436" s="106">
        <f ca="1">IF(ISBLANK(OFFSET('Data Table'!$A431,2,Settings!$G$5-1)),"",OFFSET('Data Table'!$A431,2,Settings!$G$5-1))</f>
        <v>200</v>
      </c>
      <c r="E436" s="106" t="str">
        <f ca="1">IF(ISBLANK(OFFSET('Data Table'!$A431,2,Settings!$G$5)),"",OFFSET('Data Table'!$A431,2,Settings!$G$5))</f>
        <v/>
      </c>
      <c r="F436" s="143" t="str">
        <f ca="1">IF(ISBLANK(OFFSET('Data Table'!$A431,2,Settings!$G$5+1)),"",OFFSET('Data Table'!$A431,2,Settings!$G$5+1))</f>
        <v/>
      </c>
      <c r="G436">
        <f t="shared" ca="1" si="6"/>
        <v>200</v>
      </c>
      <c r="H436">
        <f ca="1">IF(G436=-888,"",IF(G436=-999,Settings!$G$4,IF(AND($AA$6="Excluded",G436&gt;=Settings!$G$2),"",G436)))</f>
        <v>200</v>
      </c>
      <c r="I436">
        <f ca="1">IF(OR(G436=-999,G436=-888,AND($AA$6="Excluded",G436&gt;=Settings!$G$2)),"",G436)</f>
        <v>200</v>
      </c>
      <c r="O436" s="46"/>
    </row>
    <row r="437" spans="1:15" x14ac:dyDescent="0.2">
      <c r="A437" s="1">
        <v>432</v>
      </c>
      <c r="B437" t="str">
        <f>IF(ISERROR(MATCH(TRIM('Data Table'!D434),Settings!$G$15:$G$20,0)),TRIM('Data Table'!D434),LOOKUP(TRIM('Data Table'!D434),Settings!$G$15:$G$20,Settings!$H$15:$H$20))</f>
        <v>Mecklenburg</v>
      </c>
      <c r="C437" t="str">
        <f>IF('Data Table'!F434="","SS",IF('Data Table'!F434="SF","SD",TRIM('Data Table'!F434)))</f>
        <v>SD</v>
      </c>
      <c r="D437" s="106">
        <f ca="1">IF(ISBLANK(OFFSET('Data Table'!$A432,2,Settings!$G$5-1)),"",OFFSET('Data Table'!$A432,2,Settings!$G$5-1))</f>
        <v>30</v>
      </c>
      <c r="E437" s="106" t="str">
        <f ca="1">IF(ISBLANK(OFFSET('Data Table'!$A432,2,Settings!$G$5)),"",OFFSET('Data Table'!$A432,2,Settings!$G$5))</f>
        <v/>
      </c>
      <c r="F437" s="143" t="str">
        <f ca="1">IF(ISBLANK(OFFSET('Data Table'!$A432,2,Settings!$G$5+1)),"",OFFSET('Data Table'!$A432,2,Settings!$G$5+1))</f>
        <v/>
      </c>
      <c r="G437">
        <f t="shared" ca="1" si="6"/>
        <v>30</v>
      </c>
      <c r="H437">
        <f ca="1">IF(G437=-888,"",IF(G437=-999,Settings!$G$4,IF(AND($AA$6="Excluded",G437&gt;=Settings!$G$2),"",G437)))</f>
        <v>30</v>
      </c>
      <c r="I437">
        <f ca="1">IF(OR(G437=-999,G437=-888,AND($AA$6="Excluded",G437&gt;=Settings!$G$2)),"",G437)</f>
        <v>30</v>
      </c>
      <c r="O437" s="46"/>
    </row>
    <row r="438" spans="1:15" x14ac:dyDescent="0.2">
      <c r="A438" s="1">
        <v>433</v>
      </c>
      <c r="B438" t="str">
        <f>IF(ISERROR(MATCH(TRIM('Data Table'!D435),Settings!$G$15:$G$20,0)),TRIM('Data Table'!D435),LOOKUP(TRIM('Data Table'!D435),Settings!$G$15:$G$20,Settings!$H$15:$H$20))</f>
        <v>Mecklenburg</v>
      </c>
      <c r="C438" t="str">
        <f>IF('Data Table'!F435="","SS",IF('Data Table'!F435="SF","SD",TRIM('Data Table'!F435)))</f>
        <v>SS</v>
      </c>
      <c r="D438" s="106" t="str">
        <f ca="1">IF(ISBLANK(OFFSET('Data Table'!$A433,2,Settings!$G$5-1)),"",OFFSET('Data Table'!$A433,2,Settings!$G$5-1))</f>
        <v>#</v>
      </c>
      <c r="E438" s="106" t="str">
        <f ca="1">IF(ISBLANK(OFFSET('Data Table'!$A433,2,Settings!$G$5)),"",OFFSET('Data Table'!$A433,2,Settings!$G$5))</f>
        <v/>
      </c>
      <c r="F438" s="143" t="str">
        <f ca="1">IF(ISBLANK(OFFSET('Data Table'!$A433,2,Settings!$G$5+1)),"",OFFSET('Data Table'!$A433,2,Settings!$G$5+1))</f>
        <v/>
      </c>
      <c r="G438">
        <f t="shared" ca="1" si="6"/>
        <v>-999</v>
      </c>
      <c r="H438">
        <f ca="1">IF(G438=-888,"",IF(G438=-999,Settings!$G$4,IF(AND($AA$6="Excluded",G438&gt;=Settings!$G$2),"",G438)))</f>
        <v>5.0000000000000001E-3</v>
      </c>
      <c r="I438" t="str">
        <f ca="1">IF(OR(G438=-999,G438=-888,AND($AA$6="Excluded",G438&gt;=Settings!$G$2)),"",G438)</f>
        <v/>
      </c>
      <c r="O438" s="46"/>
    </row>
    <row r="439" spans="1:15" x14ac:dyDescent="0.2">
      <c r="A439" s="1">
        <v>434</v>
      </c>
      <c r="B439" t="str">
        <f>IF(ISERROR(MATCH(TRIM('Data Table'!D436),Settings!$G$15:$G$20,0)),TRIM('Data Table'!D436),LOOKUP(TRIM('Data Table'!D436),Settings!$G$15:$G$20,Settings!$H$15:$H$20))</f>
        <v>Mecklenburg</v>
      </c>
      <c r="C439" t="str">
        <f>IF('Data Table'!F436="","SS",IF('Data Table'!F436="SF","SD",TRIM('Data Table'!F436)))</f>
        <v>SD</v>
      </c>
      <c r="D439" s="106">
        <f ca="1">IF(ISBLANK(OFFSET('Data Table'!$A434,2,Settings!$G$5-1)),"",OFFSET('Data Table'!$A434,2,Settings!$G$5-1))</f>
        <v>18</v>
      </c>
      <c r="E439" s="106" t="str">
        <f ca="1">IF(ISBLANK(OFFSET('Data Table'!$A434,2,Settings!$G$5)),"",OFFSET('Data Table'!$A434,2,Settings!$G$5))</f>
        <v/>
      </c>
      <c r="F439" s="143" t="str">
        <f ca="1">IF(ISBLANK(OFFSET('Data Table'!$A434,2,Settings!$G$5+1)),"",OFFSET('Data Table'!$A434,2,Settings!$G$5+1))</f>
        <v/>
      </c>
      <c r="G439">
        <f t="shared" ca="1" si="6"/>
        <v>18</v>
      </c>
      <c r="H439">
        <f ca="1">IF(G439=-888,"",IF(G439=-999,Settings!$G$4,IF(AND($AA$6="Excluded",G439&gt;=Settings!$G$2),"",G439)))</f>
        <v>18</v>
      </c>
      <c r="I439">
        <f ca="1">IF(OR(G439=-999,G439=-888,AND($AA$6="Excluded",G439&gt;=Settings!$G$2)),"",G439)</f>
        <v>18</v>
      </c>
      <c r="O439" s="46"/>
    </row>
    <row r="440" spans="1:15" x14ac:dyDescent="0.2">
      <c r="A440" s="1">
        <v>435</v>
      </c>
      <c r="B440" t="str">
        <f>IF(ISERROR(MATCH(TRIM('Data Table'!D437),Settings!$G$15:$G$20,0)),TRIM('Data Table'!D437),LOOKUP(TRIM('Data Table'!D437),Settings!$G$15:$G$20,Settings!$H$15:$H$20))</f>
        <v>Mecklenburg</v>
      </c>
      <c r="C440" t="str">
        <f>IF('Data Table'!F437="","SS",IF('Data Table'!F437="SF","SD",TRIM('Data Table'!F437)))</f>
        <v>SD</v>
      </c>
      <c r="D440" s="106">
        <f ca="1">IF(ISBLANK(OFFSET('Data Table'!$A435,2,Settings!$G$5-1)),"",OFFSET('Data Table'!$A435,2,Settings!$G$5-1))</f>
        <v>6.9</v>
      </c>
      <c r="E440" s="106" t="str">
        <f ca="1">IF(ISBLANK(OFFSET('Data Table'!$A435,2,Settings!$G$5)),"",OFFSET('Data Table'!$A435,2,Settings!$G$5))</f>
        <v/>
      </c>
      <c r="F440" s="143" t="str">
        <f ca="1">IF(ISBLANK(OFFSET('Data Table'!$A435,2,Settings!$G$5+1)),"",OFFSET('Data Table'!$A435,2,Settings!$G$5+1))</f>
        <v/>
      </c>
      <c r="G440">
        <f t="shared" ca="1" si="6"/>
        <v>6.9</v>
      </c>
      <c r="H440">
        <f ca="1">IF(G440=-888,"",IF(G440=-999,Settings!$G$4,IF(AND($AA$6="Excluded",G440&gt;=Settings!$G$2),"",G440)))</f>
        <v>6.9</v>
      </c>
      <c r="I440">
        <f ca="1">IF(OR(G440=-999,G440=-888,AND($AA$6="Excluded",G440&gt;=Settings!$G$2)),"",G440)</f>
        <v>6.9</v>
      </c>
      <c r="O440" s="46"/>
    </row>
    <row r="441" spans="1:15" x14ac:dyDescent="0.2">
      <c r="A441" s="1">
        <v>436</v>
      </c>
      <c r="B441" t="str">
        <f>IF(ISERROR(MATCH(TRIM('Data Table'!D438),Settings!$G$15:$G$20,0)),TRIM('Data Table'!D438),LOOKUP(TRIM('Data Table'!D438),Settings!$G$15:$G$20,Settings!$H$15:$H$20))</f>
        <v>Mecklenburg</v>
      </c>
      <c r="C441" t="str">
        <f>IF('Data Table'!F438="","SS",IF('Data Table'!F438="SF","SD",TRIM('Data Table'!F438)))</f>
        <v>SS</v>
      </c>
      <c r="D441" s="106">
        <f ca="1">IF(ISBLANK(OFFSET('Data Table'!$A436,2,Settings!$G$5-1)),"",OFFSET('Data Table'!$A436,2,Settings!$G$5-1))</f>
        <v>130</v>
      </c>
      <c r="E441" s="106" t="str">
        <f ca="1">IF(ISBLANK(OFFSET('Data Table'!$A436,2,Settings!$G$5)),"",OFFSET('Data Table'!$A436,2,Settings!$G$5))</f>
        <v/>
      </c>
      <c r="F441" s="143" t="str">
        <f ca="1">IF(ISBLANK(OFFSET('Data Table'!$A436,2,Settings!$G$5+1)),"",OFFSET('Data Table'!$A436,2,Settings!$G$5+1))</f>
        <v/>
      </c>
      <c r="G441">
        <f t="shared" ca="1" si="6"/>
        <v>130</v>
      </c>
      <c r="H441">
        <f ca="1">IF(G441=-888,"",IF(G441=-999,Settings!$G$4,IF(AND($AA$6="Excluded",G441&gt;=Settings!$G$2),"",G441)))</f>
        <v>130</v>
      </c>
      <c r="I441">
        <f ca="1">IF(OR(G441=-999,G441=-888,AND($AA$6="Excluded",G441&gt;=Settings!$G$2)),"",G441)</f>
        <v>130</v>
      </c>
      <c r="O441" s="46"/>
    </row>
    <row r="442" spans="1:15" x14ac:dyDescent="0.2">
      <c r="A442" s="1">
        <v>437</v>
      </c>
      <c r="B442" t="str">
        <f>IF(ISERROR(MATCH(TRIM('Data Table'!D439),Settings!$G$15:$G$20,0)),TRIM('Data Table'!D439),LOOKUP(TRIM('Data Table'!D439),Settings!$G$15:$G$20,Settings!$H$15:$H$20))</f>
        <v>Haywood</v>
      </c>
      <c r="C442" t="str">
        <f>IF('Data Table'!F439="","SS",IF('Data Table'!F439="SF","SD",TRIM('Data Table'!F439)))</f>
        <v>SS</v>
      </c>
      <c r="D442" s="106">
        <f ca="1">IF(ISBLANK(OFFSET('Data Table'!$A437,2,Settings!$G$5-1)),"",OFFSET('Data Table'!$A437,2,Settings!$G$5-1))</f>
        <v>24.2</v>
      </c>
      <c r="E442" s="106" t="str">
        <f ca="1">IF(ISBLANK(OFFSET('Data Table'!$A437,2,Settings!$G$5)),"",OFFSET('Data Table'!$A437,2,Settings!$G$5))</f>
        <v/>
      </c>
      <c r="F442" s="143" t="str">
        <f ca="1">IF(ISBLANK(OFFSET('Data Table'!$A437,2,Settings!$G$5+1)),"",OFFSET('Data Table'!$A437,2,Settings!$G$5+1))</f>
        <v/>
      </c>
      <c r="G442">
        <f t="shared" ca="1" si="6"/>
        <v>24.2</v>
      </c>
      <c r="H442">
        <f ca="1">IF(G442=-888,"",IF(G442=-999,Settings!$G$4,IF(AND($AA$6="Excluded",G442&gt;=Settings!$G$2),"",G442)))</f>
        <v>24.2</v>
      </c>
      <c r="I442">
        <f ca="1">IF(OR(G442=-999,G442=-888,AND($AA$6="Excluded",G442&gt;=Settings!$G$2)),"",G442)</f>
        <v>24.2</v>
      </c>
      <c r="O442" s="46"/>
    </row>
    <row r="443" spans="1:15" x14ac:dyDescent="0.2">
      <c r="A443" s="1">
        <v>438</v>
      </c>
      <c r="B443" t="str">
        <f>IF(ISERROR(MATCH(TRIM('Data Table'!D440),Settings!$G$15:$G$20,0)),TRIM('Data Table'!D440),LOOKUP(TRIM('Data Table'!D440),Settings!$G$15:$G$20,Settings!$H$15:$H$20))</f>
        <v>Haywood</v>
      </c>
      <c r="C443" t="str">
        <f>IF('Data Table'!F440="","SS",IF('Data Table'!F440="SF","SD",TRIM('Data Table'!F440)))</f>
        <v>SS</v>
      </c>
      <c r="D443" s="106" t="str">
        <f ca="1">IF(ISBLANK(OFFSET('Data Table'!$A438,2,Settings!$G$5-1)),"",OFFSET('Data Table'!$A438,2,Settings!$G$5-1))</f>
        <v/>
      </c>
      <c r="E443" s="106" t="str">
        <f ca="1">IF(ISBLANK(OFFSET('Data Table'!$A438,2,Settings!$G$5)),"",OFFSET('Data Table'!$A438,2,Settings!$G$5))</f>
        <v/>
      </c>
      <c r="F443" s="143">
        <f ca="1">IF(ISBLANK(OFFSET('Data Table'!$A438,2,Settings!$G$5+1)),"",OFFSET('Data Table'!$A438,2,Settings!$G$5+1))</f>
        <v>20</v>
      </c>
      <c r="G443">
        <f t="shared" ca="1" si="6"/>
        <v>20</v>
      </c>
      <c r="H443">
        <f ca="1">IF(G443=-888,"",IF(G443=-999,Settings!$G$4,IF(AND($AA$6="Excluded",G443&gt;=Settings!$G$2),"",G443)))</f>
        <v>20</v>
      </c>
      <c r="I443">
        <f ca="1">IF(OR(G443=-999,G443=-888,AND($AA$6="Excluded",G443&gt;=Settings!$G$2)),"",G443)</f>
        <v>20</v>
      </c>
      <c r="O443" s="46"/>
    </row>
    <row r="444" spans="1:15" x14ac:dyDescent="0.2">
      <c r="A444" s="1">
        <v>439</v>
      </c>
      <c r="B444" t="str">
        <f>IF(ISERROR(MATCH(TRIM('Data Table'!D441),Settings!$G$15:$G$20,0)),TRIM('Data Table'!D441),LOOKUP(TRIM('Data Table'!D441),Settings!$G$15:$G$20,Settings!$H$15:$H$20))</f>
        <v>Haywood</v>
      </c>
      <c r="C444" t="str">
        <f>IF('Data Table'!F441="","SS",IF('Data Table'!F441="SF","SD",TRIM('Data Table'!F441)))</f>
        <v>SS</v>
      </c>
      <c r="D444" s="106">
        <f ca="1">IF(ISBLANK(OFFSET('Data Table'!$A439,2,Settings!$G$5-1)),"",OFFSET('Data Table'!$A439,2,Settings!$G$5-1))</f>
        <v>42.2</v>
      </c>
      <c r="E444" s="106" t="str">
        <f ca="1">IF(ISBLANK(OFFSET('Data Table'!$A439,2,Settings!$G$5)),"",OFFSET('Data Table'!$A439,2,Settings!$G$5))</f>
        <v/>
      </c>
      <c r="F444" s="143" t="str">
        <f ca="1">IF(ISBLANK(OFFSET('Data Table'!$A439,2,Settings!$G$5+1)),"",OFFSET('Data Table'!$A439,2,Settings!$G$5+1))</f>
        <v/>
      </c>
      <c r="G444">
        <f t="shared" ca="1" si="6"/>
        <v>42.2</v>
      </c>
      <c r="H444">
        <f ca="1">IF(G444=-888,"",IF(G444=-999,Settings!$G$4,IF(AND($AA$6="Excluded",G444&gt;=Settings!$G$2),"",G444)))</f>
        <v>42.2</v>
      </c>
      <c r="I444">
        <f ca="1">IF(OR(G444=-999,G444=-888,AND($AA$6="Excluded",G444&gt;=Settings!$G$2)),"",G444)</f>
        <v>42.2</v>
      </c>
      <c r="O444" s="46"/>
    </row>
    <row r="445" spans="1:15" x14ac:dyDescent="0.2">
      <c r="A445" s="1">
        <v>440</v>
      </c>
      <c r="B445" t="str">
        <f>IF(ISERROR(MATCH(TRIM('Data Table'!D442),Settings!$G$15:$G$20,0)),TRIM('Data Table'!D442),LOOKUP(TRIM('Data Table'!D442),Settings!$G$15:$G$20,Settings!$H$15:$H$20))</f>
        <v>Haywood</v>
      </c>
      <c r="C445" t="str">
        <f>IF('Data Table'!F442="","SS",IF('Data Table'!F442="SF","SD",TRIM('Data Table'!F442)))</f>
        <v>SS</v>
      </c>
      <c r="D445" s="106">
        <f ca="1">IF(ISBLANK(OFFSET('Data Table'!$A440,2,Settings!$G$5-1)),"",OFFSET('Data Table'!$A440,2,Settings!$G$5-1))</f>
        <v>31</v>
      </c>
      <c r="E445" s="106" t="str">
        <f ca="1">IF(ISBLANK(OFFSET('Data Table'!$A440,2,Settings!$G$5)),"",OFFSET('Data Table'!$A440,2,Settings!$G$5))</f>
        <v/>
      </c>
      <c r="F445" s="143" t="str">
        <f ca="1">IF(ISBLANK(OFFSET('Data Table'!$A440,2,Settings!$G$5+1)),"",OFFSET('Data Table'!$A440,2,Settings!$G$5+1))</f>
        <v/>
      </c>
      <c r="G445">
        <f t="shared" ca="1" si="6"/>
        <v>31</v>
      </c>
      <c r="H445">
        <f ca="1">IF(G445=-888,"",IF(G445=-999,Settings!$G$4,IF(AND($AA$6="Excluded",G445&gt;=Settings!$G$2),"",G445)))</f>
        <v>31</v>
      </c>
      <c r="I445">
        <f ca="1">IF(OR(G445=-999,G445=-888,AND($AA$6="Excluded",G445&gt;=Settings!$G$2)),"",G445)</f>
        <v>31</v>
      </c>
      <c r="O445" s="46"/>
    </row>
    <row r="446" spans="1:15" x14ac:dyDescent="0.2">
      <c r="A446" s="1">
        <v>441</v>
      </c>
      <c r="B446" t="str">
        <f>IF(ISERROR(MATCH(TRIM('Data Table'!D443),Settings!$G$15:$G$20,0)),TRIM('Data Table'!D443),LOOKUP(TRIM('Data Table'!D443),Settings!$G$15:$G$20,Settings!$H$15:$H$20))</f>
        <v>Haywood</v>
      </c>
      <c r="C446" t="str">
        <f>IF('Data Table'!F443="","SS",IF('Data Table'!F443="SF","SD",TRIM('Data Table'!F443)))</f>
        <v>SS</v>
      </c>
      <c r="D446" s="106">
        <f ca="1">IF(ISBLANK(OFFSET('Data Table'!$A441,2,Settings!$G$5-1)),"",OFFSET('Data Table'!$A441,2,Settings!$G$5-1))</f>
        <v>35.6</v>
      </c>
      <c r="E446" s="106" t="str">
        <f ca="1">IF(ISBLANK(OFFSET('Data Table'!$A441,2,Settings!$G$5)),"",OFFSET('Data Table'!$A441,2,Settings!$G$5))</f>
        <v/>
      </c>
      <c r="F446" s="143" t="str">
        <f ca="1">IF(ISBLANK(OFFSET('Data Table'!$A441,2,Settings!$G$5+1)),"",OFFSET('Data Table'!$A441,2,Settings!$G$5+1))</f>
        <v/>
      </c>
      <c r="G446">
        <f t="shared" ca="1" si="6"/>
        <v>35.6</v>
      </c>
      <c r="H446">
        <f ca="1">IF(G446=-888,"",IF(G446=-999,Settings!$G$4,IF(AND($AA$6="Excluded",G446&gt;=Settings!$G$2),"",G446)))</f>
        <v>35.6</v>
      </c>
      <c r="I446">
        <f ca="1">IF(OR(G446=-999,G446=-888,AND($AA$6="Excluded",G446&gt;=Settings!$G$2)),"",G446)</f>
        <v>35.6</v>
      </c>
      <c r="O446" s="46"/>
    </row>
    <row r="447" spans="1:15" x14ac:dyDescent="0.2">
      <c r="A447" s="1">
        <v>442</v>
      </c>
      <c r="B447" t="str">
        <f>IF(ISERROR(MATCH(TRIM('Data Table'!D444),Settings!$G$15:$G$20,0)),TRIM('Data Table'!D444),LOOKUP(TRIM('Data Table'!D444),Settings!$G$15:$G$20,Settings!$H$15:$H$20))</f>
        <v>Haywood</v>
      </c>
      <c r="C447" t="str">
        <f>IF('Data Table'!F444="","SS",IF('Data Table'!F444="SF","SD",TRIM('Data Table'!F444)))</f>
        <v>SS</v>
      </c>
      <c r="D447" s="106">
        <f ca="1">IF(ISBLANK(OFFSET('Data Table'!$A442,2,Settings!$G$5-1)),"",OFFSET('Data Table'!$A442,2,Settings!$G$5-1))</f>
        <v>20</v>
      </c>
      <c r="E447" s="106" t="str">
        <f ca="1">IF(ISBLANK(OFFSET('Data Table'!$A442,2,Settings!$G$5)),"",OFFSET('Data Table'!$A442,2,Settings!$G$5))</f>
        <v/>
      </c>
      <c r="F447" s="143" t="str">
        <f ca="1">IF(ISBLANK(OFFSET('Data Table'!$A442,2,Settings!$G$5+1)),"",OFFSET('Data Table'!$A442,2,Settings!$G$5+1))</f>
        <v/>
      </c>
      <c r="G447">
        <f t="shared" ca="1" si="6"/>
        <v>20</v>
      </c>
      <c r="H447">
        <f ca="1">IF(G447=-888,"",IF(G447=-999,Settings!$G$4,IF(AND($AA$6="Excluded",G447&gt;=Settings!$G$2),"",G447)))</f>
        <v>20</v>
      </c>
      <c r="I447">
        <f ca="1">IF(OR(G447=-999,G447=-888,AND($AA$6="Excluded",G447&gt;=Settings!$G$2)),"",G447)</f>
        <v>20</v>
      </c>
      <c r="O447" s="46"/>
    </row>
    <row r="448" spans="1:15" x14ac:dyDescent="0.2">
      <c r="A448" s="1">
        <v>443</v>
      </c>
      <c r="B448" t="str">
        <f>IF(ISERROR(MATCH(TRIM('Data Table'!D445),Settings!$G$15:$G$20,0)),TRIM('Data Table'!D445),LOOKUP(TRIM('Data Table'!D445),Settings!$G$15:$G$20,Settings!$H$15:$H$20))</f>
        <v>Gaston</v>
      </c>
      <c r="C448" t="str">
        <f>IF('Data Table'!F445="","SS",IF('Data Table'!F445="SF","SD",TRIM('Data Table'!F445)))</f>
        <v>SS</v>
      </c>
      <c r="D448" s="106" t="str">
        <f ca="1">IF(ISBLANK(OFFSET('Data Table'!$A443,2,Settings!$G$5-1)),"",OFFSET('Data Table'!$A443,2,Settings!$G$5-1))</f>
        <v>#</v>
      </c>
      <c r="E448" s="106" t="str">
        <f ca="1">IF(ISBLANK(OFFSET('Data Table'!$A443,2,Settings!$G$5)),"",OFFSET('Data Table'!$A443,2,Settings!$G$5))</f>
        <v/>
      </c>
      <c r="F448" s="143" t="str">
        <f ca="1">IF(ISBLANK(OFFSET('Data Table'!$A443,2,Settings!$G$5+1)),"",OFFSET('Data Table'!$A443,2,Settings!$G$5+1))</f>
        <v/>
      </c>
      <c r="G448">
        <f t="shared" ca="1" si="6"/>
        <v>-999</v>
      </c>
      <c r="H448">
        <f ca="1">IF(G448=-888,"",IF(G448=-999,Settings!$G$4,IF(AND($AA$6="Excluded",G448&gt;=Settings!$G$2),"",G448)))</f>
        <v>5.0000000000000001E-3</v>
      </c>
      <c r="I448" t="str">
        <f ca="1">IF(OR(G448=-999,G448=-888,AND($AA$6="Excluded",G448&gt;=Settings!$G$2)),"",G448)</f>
        <v/>
      </c>
      <c r="O448" s="46"/>
    </row>
    <row r="449" spans="1:15" x14ac:dyDescent="0.2">
      <c r="A449" s="1">
        <v>444</v>
      </c>
      <c r="B449" t="str">
        <f>IF(ISERROR(MATCH(TRIM('Data Table'!D446),Settings!$G$15:$G$20,0)),TRIM('Data Table'!D446),LOOKUP(TRIM('Data Table'!D446),Settings!$G$15:$G$20,Settings!$H$15:$H$20))</f>
        <v>Catawba</v>
      </c>
      <c r="C449" t="str">
        <f>IF('Data Table'!F446="","SS",IF('Data Table'!F446="SF","SD",TRIM('Data Table'!F446)))</f>
        <v>SS</v>
      </c>
      <c r="D449" s="106">
        <f ca="1">IF(ISBLANK(OFFSET('Data Table'!$A444,2,Settings!$G$5-1)),"",OFFSET('Data Table'!$A444,2,Settings!$G$5-1))</f>
        <v>19</v>
      </c>
      <c r="E449" s="106" t="str">
        <f ca="1">IF(ISBLANK(OFFSET('Data Table'!$A444,2,Settings!$G$5)),"",OFFSET('Data Table'!$A444,2,Settings!$G$5))</f>
        <v/>
      </c>
      <c r="F449" s="143" t="str">
        <f ca="1">IF(ISBLANK(OFFSET('Data Table'!$A444,2,Settings!$G$5+1)),"",OFFSET('Data Table'!$A444,2,Settings!$G$5+1))</f>
        <v/>
      </c>
      <c r="G449">
        <f t="shared" ca="1" si="6"/>
        <v>19</v>
      </c>
      <c r="H449">
        <f ca="1">IF(G449=-888,"",IF(G449=-999,Settings!$G$4,IF(AND($AA$6="Excluded",G449&gt;=Settings!$G$2),"",G449)))</f>
        <v>19</v>
      </c>
      <c r="I449">
        <f ca="1">IF(OR(G449=-999,G449=-888,AND($AA$6="Excluded",G449&gt;=Settings!$G$2)),"",G449)</f>
        <v>19</v>
      </c>
      <c r="O449" s="46"/>
    </row>
    <row r="450" spans="1:15" x14ac:dyDescent="0.2">
      <c r="A450" s="1">
        <v>445</v>
      </c>
      <c r="B450" t="str">
        <f>IF(ISERROR(MATCH(TRIM('Data Table'!D447),Settings!$G$15:$G$20,0)),TRIM('Data Table'!D447),LOOKUP(TRIM('Data Table'!D447),Settings!$G$15:$G$20,Settings!$H$15:$H$20))</f>
        <v>Catawba</v>
      </c>
      <c r="C450" t="str">
        <f>IF('Data Table'!F447="","SS",IF('Data Table'!F447="SF","SD",TRIM('Data Table'!F447)))</f>
        <v>SB</v>
      </c>
      <c r="D450" s="106" t="str">
        <f ca="1">IF(ISBLANK(OFFSET('Data Table'!$A445,2,Settings!$G$5-1)),"",OFFSET('Data Table'!$A445,2,Settings!$G$5-1))</f>
        <v/>
      </c>
      <c r="E450" s="106">
        <f ca="1">IF(ISBLANK(OFFSET('Data Table'!$A445,2,Settings!$G$5)),"",OFFSET('Data Table'!$A445,2,Settings!$G$5))</f>
        <v>66.239999999999995</v>
      </c>
      <c r="F450" s="143" t="str">
        <f ca="1">IF(ISBLANK(OFFSET('Data Table'!$A445,2,Settings!$G$5+1)),"",OFFSET('Data Table'!$A445,2,Settings!$G$5+1))</f>
        <v/>
      </c>
      <c r="G450">
        <f t="shared" ca="1" si="6"/>
        <v>66.239999999999995</v>
      </c>
      <c r="H450">
        <f ca="1">IF(G450=-888,"",IF(G450=-999,Settings!$G$4,IF(AND($AA$6="Excluded",G450&gt;=Settings!$G$2),"",G450)))</f>
        <v>66.239999999999995</v>
      </c>
      <c r="I450">
        <f ca="1">IF(OR(G450=-999,G450=-888,AND($AA$6="Excluded",G450&gt;=Settings!$G$2)),"",G450)</f>
        <v>66.239999999999995</v>
      </c>
      <c r="O450" s="46"/>
    </row>
    <row r="451" spans="1:15" x14ac:dyDescent="0.2">
      <c r="A451" s="1">
        <v>446</v>
      </c>
      <c r="B451" t="str">
        <f>IF(ISERROR(MATCH(TRIM('Data Table'!D448),Settings!$G$15:$G$20,0)),TRIM('Data Table'!D448),LOOKUP(TRIM('Data Table'!D448),Settings!$G$15:$G$20,Settings!$H$15:$H$20))</f>
        <v>Halifax</v>
      </c>
      <c r="C451" t="str">
        <f>IF('Data Table'!F448="","SS",IF('Data Table'!F448="SF","SD",TRIM('Data Table'!F448)))</f>
        <v>SS</v>
      </c>
      <c r="D451" s="106" t="str">
        <f ca="1">IF(ISBLANK(OFFSET('Data Table'!$A446,2,Settings!$G$5-1)),"",OFFSET('Data Table'!$A446,2,Settings!$G$5-1))</f>
        <v>#</v>
      </c>
      <c r="E451" s="106" t="str">
        <f ca="1">IF(ISBLANK(OFFSET('Data Table'!$A446,2,Settings!$G$5)),"",OFFSET('Data Table'!$A446,2,Settings!$G$5))</f>
        <v/>
      </c>
      <c r="F451" s="143" t="str">
        <f ca="1">IF(ISBLANK(OFFSET('Data Table'!$A446,2,Settings!$G$5+1)),"",OFFSET('Data Table'!$A446,2,Settings!$G$5+1))</f>
        <v/>
      </c>
      <c r="G451">
        <f t="shared" ca="1" si="6"/>
        <v>-999</v>
      </c>
      <c r="H451">
        <f ca="1">IF(G451=-888,"",IF(G451=-999,Settings!$G$4,IF(AND($AA$6="Excluded",G451&gt;=Settings!$G$2),"",G451)))</f>
        <v>5.0000000000000001E-3</v>
      </c>
      <c r="I451" t="str">
        <f ca="1">IF(OR(G451=-999,G451=-888,AND($AA$6="Excluded",G451&gt;=Settings!$G$2)),"",G451)</f>
        <v/>
      </c>
      <c r="O451" s="46"/>
    </row>
    <row r="452" spans="1:15" x14ac:dyDescent="0.2">
      <c r="A452" s="1">
        <v>447</v>
      </c>
      <c r="B452" t="str">
        <f>IF(ISERROR(MATCH(TRIM('Data Table'!D449),Settings!$G$15:$G$20,0)),TRIM('Data Table'!D449),LOOKUP(TRIM('Data Table'!D449),Settings!$G$15:$G$20,Settings!$H$15:$H$20))</f>
        <v>Halifax</v>
      </c>
      <c r="C452" t="str">
        <f>IF('Data Table'!F449="","SS",IF('Data Table'!F449="SF","SD",TRIM('Data Table'!F449)))</f>
        <v>SD</v>
      </c>
      <c r="D452" s="106">
        <f ca="1">IF(ISBLANK(OFFSET('Data Table'!$A447,2,Settings!$G$5-1)),"",OFFSET('Data Table'!$A447,2,Settings!$G$5-1))</f>
        <v>22</v>
      </c>
      <c r="E452" s="106" t="str">
        <f ca="1">IF(ISBLANK(OFFSET('Data Table'!$A447,2,Settings!$G$5)),"",OFFSET('Data Table'!$A447,2,Settings!$G$5))</f>
        <v/>
      </c>
      <c r="F452" s="143" t="str">
        <f ca="1">IF(ISBLANK(OFFSET('Data Table'!$A447,2,Settings!$G$5+1)),"",OFFSET('Data Table'!$A447,2,Settings!$G$5+1))</f>
        <v/>
      </c>
      <c r="G452">
        <f t="shared" ca="1" si="6"/>
        <v>22</v>
      </c>
      <c r="H452">
        <f ca="1">IF(G452=-888,"",IF(G452=-999,Settings!$G$4,IF(AND($AA$6="Excluded",G452&gt;=Settings!$G$2),"",G452)))</f>
        <v>22</v>
      </c>
      <c r="I452">
        <f ca="1">IF(OR(G452=-999,G452=-888,AND($AA$6="Excluded",G452&gt;=Settings!$G$2)),"",G452)</f>
        <v>22</v>
      </c>
      <c r="O452" s="46"/>
    </row>
    <row r="453" spans="1:15" x14ac:dyDescent="0.2">
      <c r="A453" s="1">
        <v>448</v>
      </c>
      <c r="B453" t="str">
        <f>IF(ISERROR(MATCH(TRIM('Data Table'!D450),Settings!$G$15:$G$20,0)),TRIM('Data Table'!D450),LOOKUP(TRIM('Data Table'!D450),Settings!$G$15:$G$20,Settings!$H$15:$H$20))</f>
        <v>Guilford</v>
      </c>
      <c r="C453" t="str">
        <f>IF('Data Table'!F450="","SS",IF('Data Table'!F450="SF","SD",TRIM('Data Table'!F450)))</f>
        <v>SS</v>
      </c>
      <c r="D453" s="106">
        <f ca="1">IF(ISBLANK(OFFSET('Data Table'!$A448,2,Settings!$G$5-1)),"",OFFSET('Data Table'!$A448,2,Settings!$G$5-1))</f>
        <v>24</v>
      </c>
      <c r="E453" s="106" t="str">
        <f ca="1">IF(ISBLANK(OFFSET('Data Table'!$A448,2,Settings!$G$5)),"",OFFSET('Data Table'!$A448,2,Settings!$G$5))</f>
        <v/>
      </c>
      <c r="F453" s="143" t="str">
        <f ca="1">IF(ISBLANK(OFFSET('Data Table'!$A448,2,Settings!$G$5+1)),"",OFFSET('Data Table'!$A448,2,Settings!$G$5+1))</f>
        <v/>
      </c>
      <c r="G453">
        <f t="shared" ca="1" si="6"/>
        <v>24</v>
      </c>
      <c r="H453">
        <f ca="1">IF(G453=-888,"",IF(G453=-999,Settings!$G$4,IF(AND($AA$6="Excluded",G453&gt;=Settings!$G$2),"",G453)))</f>
        <v>24</v>
      </c>
      <c r="I453">
        <f ca="1">IF(OR(G453=-999,G453=-888,AND($AA$6="Excluded",G453&gt;=Settings!$G$2)),"",G453)</f>
        <v>24</v>
      </c>
      <c r="O453" s="46"/>
    </row>
    <row r="454" spans="1:15" x14ac:dyDescent="0.2">
      <c r="A454" s="1">
        <v>449</v>
      </c>
      <c r="B454" t="str">
        <f>IF(ISERROR(MATCH(TRIM('Data Table'!D451),Settings!$G$15:$G$20,0)),TRIM('Data Table'!D451),LOOKUP(TRIM('Data Table'!D451),Settings!$G$15:$G$20,Settings!$H$15:$H$20))</f>
        <v>Guilford</v>
      </c>
      <c r="C454" t="str">
        <f>IF('Data Table'!F451="","SS",IF('Data Table'!F451="SF","SD",TRIM('Data Table'!F451)))</f>
        <v>SB</v>
      </c>
      <c r="D454" s="106">
        <f ca="1">IF(ISBLANK(OFFSET('Data Table'!$A449,2,Settings!$G$5-1)),"",OFFSET('Data Table'!$A449,2,Settings!$G$5-1))</f>
        <v>19</v>
      </c>
      <c r="E454" s="106" t="str">
        <f ca="1">IF(ISBLANK(OFFSET('Data Table'!$A449,2,Settings!$G$5)),"",OFFSET('Data Table'!$A449,2,Settings!$G$5))</f>
        <v/>
      </c>
      <c r="F454" s="143" t="str">
        <f ca="1">IF(ISBLANK(OFFSET('Data Table'!$A449,2,Settings!$G$5+1)),"",OFFSET('Data Table'!$A449,2,Settings!$G$5+1))</f>
        <v/>
      </c>
      <c r="G454">
        <f t="shared" ref="G454:G517" ca="1" si="7">IF(COUNTIF(SOIL_DEPTH,C454)=0,"",IF(OR(D454="#",E454="#",F454="#"),-999,IF(AND(D454="",E454="",F454=""),-888,IF(COUNT(D454:F454)&gt;1,"ERROR",MAX(D454:F454)))))</f>
        <v>19</v>
      </c>
      <c r="H454">
        <f ca="1">IF(G454=-888,"",IF(G454=-999,Settings!$G$4,IF(AND($AA$6="Excluded",G454&gt;=Settings!$G$2),"",G454)))</f>
        <v>19</v>
      </c>
      <c r="I454">
        <f ca="1">IF(OR(G454=-999,G454=-888,AND($AA$6="Excluded",G454&gt;=Settings!$G$2)),"",G454)</f>
        <v>19</v>
      </c>
      <c r="O454" s="46"/>
    </row>
    <row r="455" spans="1:15" x14ac:dyDescent="0.2">
      <c r="A455" s="1">
        <v>450</v>
      </c>
      <c r="B455" t="str">
        <f>IF(ISERROR(MATCH(TRIM('Data Table'!D452),Settings!$G$15:$G$20,0)),TRIM('Data Table'!D452),LOOKUP(TRIM('Data Table'!D452),Settings!$G$15:$G$20,Settings!$H$15:$H$20))</f>
        <v>Catawba</v>
      </c>
      <c r="C455" t="str">
        <f>IF('Data Table'!F452="","SS",IF('Data Table'!F452="SF","SD",TRIM('Data Table'!F452)))</f>
        <v>SS</v>
      </c>
      <c r="D455" s="106">
        <f ca="1">IF(ISBLANK(OFFSET('Data Table'!$A450,2,Settings!$G$5-1)),"",OFFSET('Data Table'!$A450,2,Settings!$G$5-1))</f>
        <v>23</v>
      </c>
      <c r="E455" s="106" t="str">
        <f ca="1">IF(ISBLANK(OFFSET('Data Table'!$A450,2,Settings!$G$5)),"",OFFSET('Data Table'!$A450,2,Settings!$G$5))</f>
        <v/>
      </c>
      <c r="F455" s="143" t="str">
        <f ca="1">IF(ISBLANK(OFFSET('Data Table'!$A450,2,Settings!$G$5+1)),"",OFFSET('Data Table'!$A450,2,Settings!$G$5+1))</f>
        <v/>
      </c>
      <c r="G455">
        <f t="shared" ca="1" si="7"/>
        <v>23</v>
      </c>
      <c r="H455">
        <f ca="1">IF(G455=-888,"",IF(G455=-999,Settings!$G$4,IF(AND($AA$6="Excluded",G455&gt;=Settings!$G$2),"",G455)))</f>
        <v>23</v>
      </c>
      <c r="I455">
        <f ca="1">IF(OR(G455=-999,G455=-888,AND($AA$6="Excluded",G455&gt;=Settings!$G$2)),"",G455)</f>
        <v>23</v>
      </c>
      <c r="O455" s="46"/>
    </row>
    <row r="456" spans="1:15" x14ac:dyDescent="0.2">
      <c r="A456" s="1">
        <v>451</v>
      </c>
      <c r="B456" t="str">
        <f>IF(ISERROR(MATCH(TRIM('Data Table'!D453),Settings!$G$15:$G$20,0)),TRIM('Data Table'!D453),LOOKUP(TRIM('Data Table'!D453),Settings!$G$15:$G$20,Settings!$H$15:$H$20))</f>
        <v>Catawba</v>
      </c>
      <c r="C456" t="str">
        <f>IF('Data Table'!F453="","SS",IF('Data Table'!F453="SF","SD",TRIM('Data Table'!F453)))</f>
        <v>SB</v>
      </c>
      <c r="D456" s="106">
        <f ca="1">IF(ISBLANK(OFFSET('Data Table'!$A451,2,Settings!$G$5-1)),"",OFFSET('Data Table'!$A451,2,Settings!$G$5-1))</f>
        <v>17</v>
      </c>
      <c r="E456" s="106" t="str">
        <f ca="1">IF(ISBLANK(OFFSET('Data Table'!$A451,2,Settings!$G$5)),"",OFFSET('Data Table'!$A451,2,Settings!$G$5))</f>
        <v/>
      </c>
      <c r="F456" s="143" t="str">
        <f ca="1">IF(ISBLANK(OFFSET('Data Table'!$A451,2,Settings!$G$5+1)),"",OFFSET('Data Table'!$A451,2,Settings!$G$5+1))</f>
        <v/>
      </c>
      <c r="G456">
        <f t="shared" ca="1" si="7"/>
        <v>17</v>
      </c>
      <c r="H456">
        <f ca="1">IF(G456=-888,"",IF(G456=-999,Settings!$G$4,IF(AND($AA$6="Excluded",G456&gt;=Settings!$G$2),"",G456)))</f>
        <v>17</v>
      </c>
      <c r="I456">
        <f ca="1">IF(OR(G456=-999,G456=-888,AND($AA$6="Excluded",G456&gt;=Settings!$G$2)),"",G456)</f>
        <v>17</v>
      </c>
      <c r="O456" s="46"/>
    </row>
    <row r="457" spans="1:15" x14ac:dyDescent="0.2">
      <c r="A457" s="1">
        <v>452</v>
      </c>
      <c r="B457" t="str">
        <f>IF(ISERROR(MATCH(TRIM('Data Table'!D454),Settings!$G$15:$G$20,0)),TRIM('Data Table'!D454),LOOKUP(TRIM('Data Table'!D454),Settings!$G$15:$G$20,Settings!$H$15:$H$20))</f>
        <v>Catawba</v>
      </c>
      <c r="C457" t="str">
        <f>IF('Data Table'!F454="","SS",IF('Data Table'!F454="SF","SD",TRIM('Data Table'!F454)))</f>
        <v>SD</v>
      </c>
      <c r="D457" s="106">
        <f ca="1">IF(ISBLANK(OFFSET('Data Table'!$A452,2,Settings!$G$5-1)),"",OFFSET('Data Table'!$A452,2,Settings!$G$5-1))</f>
        <v>7.5</v>
      </c>
      <c r="E457" s="106" t="str">
        <f ca="1">IF(ISBLANK(OFFSET('Data Table'!$A452,2,Settings!$G$5)),"",OFFSET('Data Table'!$A452,2,Settings!$G$5))</f>
        <v/>
      </c>
      <c r="F457" s="143" t="str">
        <f ca="1">IF(ISBLANK(OFFSET('Data Table'!$A452,2,Settings!$G$5+1)),"",OFFSET('Data Table'!$A452,2,Settings!$G$5+1))</f>
        <v/>
      </c>
      <c r="G457">
        <f t="shared" ca="1" si="7"/>
        <v>7.5</v>
      </c>
      <c r="H457">
        <f ca="1">IF(G457=-888,"",IF(G457=-999,Settings!$G$4,IF(AND($AA$6="Excluded",G457&gt;=Settings!$G$2),"",G457)))</f>
        <v>7.5</v>
      </c>
      <c r="I457">
        <f ca="1">IF(OR(G457=-999,G457=-888,AND($AA$6="Excluded",G457&gt;=Settings!$G$2)),"",G457)</f>
        <v>7.5</v>
      </c>
      <c r="O457" s="46"/>
    </row>
    <row r="458" spans="1:15" x14ac:dyDescent="0.2">
      <c r="A458" s="1">
        <v>453</v>
      </c>
      <c r="B458" t="str">
        <f>IF(ISERROR(MATCH(TRIM('Data Table'!D455),Settings!$G$15:$G$20,0)),TRIM('Data Table'!D455),LOOKUP(TRIM('Data Table'!D455),Settings!$G$15:$G$20,Settings!$H$15:$H$20))</f>
        <v>Person</v>
      </c>
      <c r="C458" t="str">
        <f>IF('Data Table'!F455="","SS",IF('Data Table'!F455="SF","SD",TRIM('Data Table'!F455)))</f>
        <v>SS</v>
      </c>
      <c r="D458" s="106" t="str">
        <f ca="1">IF(ISBLANK(OFFSET('Data Table'!$A453,2,Settings!$G$5-1)),"",OFFSET('Data Table'!$A453,2,Settings!$G$5-1))</f>
        <v/>
      </c>
      <c r="E458" s="106" t="str">
        <f ca="1">IF(ISBLANK(OFFSET('Data Table'!$A453,2,Settings!$G$5)),"",OFFSET('Data Table'!$A453,2,Settings!$G$5))</f>
        <v/>
      </c>
      <c r="F458" s="143">
        <f ca="1">IF(ISBLANK(OFFSET('Data Table'!$A453,2,Settings!$G$5+1)),"",OFFSET('Data Table'!$A453,2,Settings!$G$5+1))</f>
        <v>10</v>
      </c>
      <c r="G458">
        <f t="shared" ca="1" si="7"/>
        <v>10</v>
      </c>
      <c r="H458">
        <f ca="1">IF(G458=-888,"",IF(G458=-999,Settings!$G$4,IF(AND($AA$6="Excluded",G458&gt;=Settings!$G$2),"",G458)))</f>
        <v>10</v>
      </c>
      <c r="I458">
        <f ca="1">IF(OR(G458=-999,G458=-888,AND($AA$6="Excluded",G458&gt;=Settings!$G$2)),"",G458)</f>
        <v>10</v>
      </c>
      <c r="O458" s="46"/>
    </row>
    <row r="459" spans="1:15" x14ac:dyDescent="0.2">
      <c r="A459" s="1">
        <v>454</v>
      </c>
      <c r="B459" t="str">
        <f>IF(ISERROR(MATCH(TRIM('Data Table'!D456),Settings!$G$15:$G$20,0)),TRIM('Data Table'!D456),LOOKUP(TRIM('Data Table'!D456),Settings!$G$15:$G$20,Settings!$H$15:$H$20))</f>
        <v>Person</v>
      </c>
      <c r="C459" t="str">
        <f>IF('Data Table'!F456="","SS",IF('Data Table'!F456="SF","SD",TRIM('Data Table'!F456)))</f>
        <v>SB</v>
      </c>
      <c r="D459" s="106" t="str">
        <f ca="1">IF(ISBLANK(OFFSET('Data Table'!$A454,2,Settings!$G$5-1)),"",OFFSET('Data Table'!$A454,2,Settings!$G$5-1))</f>
        <v/>
      </c>
      <c r="E459" s="106" t="str">
        <f ca="1">IF(ISBLANK(OFFSET('Data Table'!$A454,2,Settings!$G$5)),"",OFFSET('Data Table'!$A454,2,Settings!$G$5))</f>
        <v/>
      </c>
      <c r="F459" s="143">
        <f ca="1">IF(ISBLANK(OFFSET('Data Table'!$A454,2,Settings!$G$5+1)),"",OFFSET('Data Table'!$A454,2,Settings!$G$5+1))</f>
        <v>10</v>
      </c>
      <c r="G459">
        <f t="shared" ca="1" si="7"/>
        <v>10</v>
      </c>
      <c r="H459">
        <f ca="1">IF(G459=-888,"",IF(G459=-999,Settings!$G$4,IF(AND($AA$6="Excluded",G459&gt;=Settings!$G$2),"",G459)))</f>
        <v>10</v>
      </c>
      <c r="I459">
        <f ca="1">IF(OR(G459=-999,G459=-888,AND($AA$6="Excluded",G459&gt;=Settings!$G$2)),"",G459)</f>
        <v>10</v>
      </c>
      <c r="O459" s="46"/>
    </row>
    <row r="460" spans="1:15" x14ac:dyDescent="0.2">
      <c r="A460" s="1">
        <v>455</v>
      </c>
      <c r="B460" t="str">
        <f>IF(ISERROR(MATCH(TRIM('Data Table'!D457),Settings!$G$15:$G$20,0)),TRIM('Data Table'!D457),LOOKUP(TRIM('Data Table'!D457),Settings!$G$15:$G$20,Settings!$H$15:$H$20))</f>
        <v>Person</v>
      </c>
      <c r="C460" t="str">
        <f>IF('Data Table'!F457="","SS",IF('Data Table'!F457="SF","SD",TRIM('Data Table'!F457)))</f>
        <v>SD</v>
      </c>
      <c r="D460" s="106" t="str">
        <f ca="1">IF(ISBLANK(OFFSET('Data Table'!$A455,2,Settings!$G$5-1)),"",OFFSET('Data Table'!$A455,2,Settings!$G$5-1))</f>
        <v/>
      </c>
      <c r="E460" s="106" t="str">
        <f ca="1">IF(ISBLANK(OFFSET('Data Table'!$A455,2,Settings!$G$5)),"",OFFSET('Data Table'!$A455,2,Settings!$G$5))</f>
        <v/>
      </c>
      <c r="F460" s="143">
        <f ca="1">IF(ISBLANK(OFFSET('Data Table'!$A455,2,Settings!$G$5+1)),"",OFFSET('Data Table'!$A455,2,Settings!$G$5+1))</f>
        <v>4</v>
      </c>
      <c r="G460">
        <f t="shared" ca="1" si="7"/>
        <v>4</v>
      </c>
      <c r="H460">
        <f ca="1">IF(G460=-888,"",IF(G460=-999,Settings!$G$4,IF(AND($AA$6="Excluded",G460&gt;=Settings!$G$2),"",G460)))</f>
        <v>4</v>
      </c>
      <c r="I460">
        <f ca="1">IF(OR(G460=-999,G460=-888,AND($AA$6="Excluded",G460&gt;=Settings!$G$2)),"",G460)</f>
        <v>4</v>
      </c>
      <c r="O460" s="46"/>
    </row>
    <row r="461" spans="1:15" x14ac:dyDescent="0.2">
      <c r="A461" s="1">
        <v>456</v>
      </c>
      <c r="B461" t="str">
        <f>IF(ISERROR(MATCH(TRIM('Data Table'!D458),Settings!$G$15:$G$20,0)),TRIM('Data Table'!D458),LOOKUP(TRIM('Data Table'!D458),Settings!$G$15:$G$20,Settings!$H$15:$H$20))</f>
        <v>Wayne</v>
      </c>
      <c r="C461" t="str">
        <f>IF('Data Table'!F458="","SS",IF('Data Table'!F458="SF","SD",TRIM('Data Table'!F458)))</f>
        <v>SS</v>
      </c>
      <c r="D461" s="106">
        <f ca="1">IF(ISBLANK(OFFSET('Data Table'!$A456,2,Settings!$G$5-1)),"",OFFSET('Data Table'!$A456,2,Settings!$G$5-1))</f>
        <v>4.2</v>
      </c>
      <c r="E461" s="106" t="str">
        <f ca="1">IF(ISBLANK(OFFSET('Data Table'!$A456,2,Settings!$G$5)),"",OFFSET('Data Table'!$A456,2,Settings!$G$5))</f>
        <v/>
      </c>
      <c r="F461" s="143" t="str">
        <f ca="1">IF(ISBLANK(OFFSET('Data Table'!$A456,2,Settings!$G$5+1)),"",OFFSET('Data Table'!$A456,2,Settings!$G$5+1))</f>
        <v/>
      </c>
      <c r="G461">
        <f t="shared" ca="1" si="7"/>
        <v>4.2</v>
      </c>
      <c r="H461">
        <f ca="1">IF(G461=-888,"",IF(G461=-999,Settings!$G$4,IF(AND($AA$6="Excluded",G461&gt;=Settings!$G$2),"",G461)))</f>
        <v>4.2</v>
      </c>
      <c r="I461">
        <f ca="1">IF(OR(G461=-999,G461=-888,AND($AA$6="Excluded",G461&gt;=Settings!$G$2)),"",G461)</f>
        <v>4.2</v>
      </c>
      <c r="O461" s="46"/>
    </row>
    <row r="462" spans="1:15" x14ac:dyDescent="0.2">
      <c r="A462" s="1">
        <v>457</v>
      </c>
      <c r="B462" t="str">
        <f>IF(ISERROR(MATCH(TRIM('Data Table'!D459),Settings!$G$15:$G$20,0)),TRIM('Data Table'!D459),LOOKUP(TRIM('Data Table'!D459),Settings!$G$15:$G$20,Settings!$H$15:$H$20))</f>
        <v>Wayne</v>
      </c>
      <c r="C462" t="str">
        <f>IF('Data Table'!F459="","SS",IF('Data Table'!F459="SF","SD",TRIM('Data Table'!F459)))</f>
        <v>SB</v>
      </c>
      <c r="D462" s="106">
        <f ca="1">IF(ISBLANK(OFFSET('Data Table'!$A457,2,Settings!$G$5-1)),"",OFFSET('Data Table'!$A457,2,Settings!$G$5-1))</f>
        <v>2.9</v>
      </c>
      <c r="E462" s="106" t="str">
        <f ca="1">IF(ISBLANK(OFFSET('Data Table'!$A457,2,Settings!$G$5)),"",OFFSET('Data Table'!$A457,2,Settings!$G$5))</f>
        <v/>
      </c>
      <c r="F462" s="143" t="str">
        <f ca="1">IF(ISBLANK(OFFSET('Data Table'!$A457,2,Settings!$G$5+1)),"",OFFSET('Data Table'!$A457,2,Settings!$G$5+1))</f>
        <v/>
      </c>
      <c r="G462">
        <f t="shared" ca="1" si="7"/>
        <v>2.9</v>
      </c>
      <c r="H462">
        <f ca="1">IF(G462=-888,"",IF(G462=-999,Settings!$G$4,IF(AND($AA$6="Excluded",G462&gt;=Settings!$G$2),"",G462)))</f>
        <v>2.9</v>
      </c>
      <c r="I462">
        <f ca="1">IF(OR(G462=-999,G462=-888,AND($AA$6="Excluded",G462&gt;=Settings!$G$2)),"",G462)</f>
        <v>2.9</v>
      </c>
      <c r="O462" s="46"/>
    </row>
    <row r="463" spans="1:15" x14ac:dyDescent="0.2">
      <c r="A463" s="1">
        <v>458</v>
      </c>
      <c r="B463" t="str">
        <f>IF(ISERROR(MATCH(TRIM('Data Table'!D460),Settings!$G$15:$G$20,0)),TRIM('Data Table'!D460),LOOKUP(TRIM('Data Table'!D460),Settings!$G$15:$G$20,Settings!$H$15:$H$20))</f>
        <v>Wayne</v>
      </c>
      <c r="C463" t="str">
        <f>IF('Data Table'!F460="","SS",IF('Data Table'!F460="SF","SD",TRIM('Data Table'!F460)))</f>
        <v>SD</v>
      </c>
      <c r="D463" s="106">
        <f ca="1">IF(ISBLANK(OFFSET('Data Table'!$A458,2,Settings!$G$5-1)),"",OFFSET('Data Table'!$A458,2,Settings!$G$5-1))</f>
        <v>17</v>
      </c>
      <c r="E463" s="106" t="str">
        <f ca="1">IF(ISBLANK(OFFSET('Data Table'!$A458,2,Settings!$G$5)),"",OFFSET('Data Table'!$A458,2,Settings!$G$5))</f>
        <v/>
      </c>
      <c r="F463" s="143" t="str">
        <f ca="1">IF(ISBLANK(OFFSET('Data Table'!$A458,2,Settings!$G$5+1)),"",OFFSET('Data Table'!$A458,2,Settings!$G$5+1))</f>
        <v/>
      </c>
      <c r="G463">
        <f t="shared" ca="1" si="7"/>
        <v>17</v>
      </c>
      <c r="H463">
        <f ca="1">IF(G463=-888,"",IF(G463=-999,Settings!$G$4,IF(AND($AA$6="Excluded",G463&gt;=Settings!$G$2),"",G463)))</f>
        <v>17</v>
      </c>
      <c r="I463">
        <f ca="1">IF(OR(G463=-999,G463=-888,AND($AA$6="Excluded",G463&gt;=Settings!$G$2)),"",G463)</f>
        <v>17</v>
      </c>
      <c r="O463" s="46"/>
    </row>
    <row r="464" spans="1:15" x14ac:dyDescent="0.2">
      <c r="A464" s="1">
        <v>459</v>
      </c>
      <c r="B464" t="str">
        <f>IF(ISERROR(MATCH(TRIM('Data Table'!D461),Settings!$G$15:$G$20,0)),TRIM('Data Table'!D461),LOOKUP(TRIM('Data Table'!D461),Settings!$G$15:$G$20,Settings!$H$15:$H$20))</f>
        <v>Hertford</v>
      </c>
      <c r="C464" t="str">
        <f>IF('Data Table'!F461="","SS",IF('Data Table'!F461="SF","SD",TRIM('Data Table'!F461)))</f>
        <v>SS</v>
      </c>
      <c r="D464" s="106" t="str">
        <f ca="1">IF(ISBLANK(OFFSET('Data Table'!$A459,2,Settings!$G$5-1)),"",OFFSET('Data Table'!$A459,2,Settings!$G$5-1))</f>
        <v/>
      </c>
      <c r="E464" s="106" t="str">
        <f ca="1">IF(ISBLANK(OFFSET('Data Table'!$A459,2,Settings!$G$5)),"",OFFSET('Data Table'!$A459,2,Settings!$G$5))</f>
        <v/>
      </c>
      <c r="F464" s="143">
        <f ca="1">IF(ISBLANK(OFFSET('Data Table'!$A459,2,Settings!$G$5+1)),"",OFFSET('Data Table'!$A459,2,Settings!$G$5+1))</f>
        <v>5</v>
      </c>
      <c r="G464">
        <f t="shared" ca="1" si="7"/>
        <v>5</v>
      </c>
      <c r="H464">
        <f ca="1">IF(G464=-888,"",IF(G464=-999,Settings!$G$4,IF(AND($AA$6="Excluded",G464&gt;=Settings!$G$2),"",G464)))</f>
        <v>5</v>
      </c>
      <c r="I464">
        <f ca="1">IF(OR(G464=-999,G464=-888,AND($AA$6="Excluded",G464&gt;=Settings!$G$2)),"",G464)</f>
        <v>5</v>
      </c>
      <c r="O464" s="46"/>
    </row>
    <row r="465" spans="1:15" x14ac:dyDescent="0.2">
      <c r="A465" s="1">
        <v>460</v>
      </c>
      <c r="B465" t="str">
        <f>IF(ISERROR(MATCH(TRIM('Data Table'!D462),Settings!$G$15:$G$20,0)),TRIM('Data Table'!D462),LOOKUP(TRIM('Data Table'!D462),Settings!$G$15:$G$20,Settings!$H$15:$H$20))</f>
        <v>Hertford</v>
      </c>
      <c r="C465" t="str">
        <f>IF('Data Table'!F462="","SS",IF('Data Table'!F462="SF","SD",TRIM('Data Table'!F462)))</f>
        <v>SS</v>
      </c>
      <c r="D465" s="106">
        <f ca="1">IF(ISBLANK(OFFSET('Data Table'!$A460,2,Settings!$G$5-1)),"",OFFSET('Data Table'!$A460,2,Settings!$G$5-1))</f>
        <v>15</v>
      </c>
      <c r="E465" s="106" t="str">
        <f ca="1">IF(ISBLANK(OFFSET('Data Table'!$A460,2,Settings!$G$5)),"",OFFSET('Data Table'!$A460,2,Settings!$G$5))</f>
        <v/>
      </c>
      <c r="F465" s="143" t="str">
        <f ca="1">IF(ISBLANK(OFFSET('Data Table'!$A460,2,Settings!$G$5+1)),"",OFFSET('Data Table'!$A460,2,Settings!$G$5+1))</f>
        <v/>
      </c>
      <c r="G465">
        <f t="shared" ca="1" si="7"/>
        <v>15</v>
      </c>
      <c r="H465">
        <f ca="1">IF(G465=-888,"",IF(G465=-999,Settings!$G$4,IF(AND($AA$6="Excluded",G465&gt;=Settings!$G$2),"",G465)))</f>
        <v>15</v>
      </c>
      <c r="I465">
        <f ca="1">IF(OR(G465=-999,G465=-888,AND($AA$6="Excluded",G465&gt;=Settings!$G$2)),"",G465)</f>
        <v>15</v>
      </c>
      <c r="O465" s="46"/>
    </row>
    <row r="466" spans="1:15" x14ac:dyDescent="0.2">
      <c r="A466" s="1">
        <v>461</v>
      </c>
      <c r="B466" t="str">
        <f>IF(ISERROR(MATCH(TRIM('Data Table'!D463),Settings!$G$15:$G$20,0)),TRIM('Data Table'!D463),LOOKUP(TRIM('Data Table'!D463),Settings!$G$15:$G$20,Settings!$H$15:$H$20))</f>
        <v>Hertford</v>
      </c>
      <c r="C466" t="str">
        <f>IF('Data Table'!F463="","SS",IF('Data Table'!F463="SF","SD",TRIM('Data Table'!F463)))</f>
        <v>SS</v>
      </c>
      <c r="D466" s="106">
        <f ca="1">IF(ISBLANK(OFFSET('Data Table'!$A461,2,Settings!$G$5-1)),"",OFFSET('Data Table'!$A461,2,Settings!$G$5-1))</f>
        <v>5</v>
      </c>
      <c r="E466" s="106" t="str">
        <f ca="1">IF(ISBLANK(OFFSET('Data Table'!$A461,2,Settings!$G$5)),"",OFFSET('Data Table'!$A461,2,Settings!$G$5))</f>
        <v/>
      </c>
      <c r="F466" s="143" t="str">
        <f ca="1">IF(ISBLANK(OFFSET('Data Table'!$A461,2,Settings!$G$5+1)),"",OFFSET('Data Table'!$A461,2,Settings!$G$5+1))</f>
        <v/>
      </c>
      <c r="G466">
        <f t="shared" ca="1" si="7"/>
        <v>5</v>
      </c>
      <c r="H466">
        <f ca="1">IF(G466=-888,"",IF(G466=-999,Settings!$G$4,IF(AND($AA$6="Excluded",G466&gt;=Settings!$G$2),"",G466)))</f>
        <v>5</v>
      </c>
      <c r="I466">
        <f ca="1">IF(OR(G466=-999,G466=-888,AND($AA$6="Excluded",G466&gt;=Settings!$G$2)),"",G466)</f>
        <v>5</v>
      </c>
      <c r="O466" s="46"/>
    </row>
    <row r="467" spans="1:15" x14ac:dyDescent="0.2">
      <c r="A467" s="1">
        <v>462</v>
      </c>
      <c r="B467" t="str">
        <f>IF(ISERROR(MATCH(TRIM('Data Table'!D464),Settings!$G$15:$G$20,0)),TRIM('Data Table'!D464),LOOKUP(TRIM('Data Table'!D464),Settings!$G$15:$G$20,Settings!$H$15:$H$20))</f>
        <v>Forsyth</v>
      </c>
      <c r="C467" t="str">
        <f>IF('Data Table'!F464="","SS",IF('Data Table'!F464="SF","SD",TRIM('Data Table'!F464)))</f>
        <v>SS</v>
      </c>
      <c r="D467" s="106" t="str">
        <f ca="1">IF(ISBLANK(OFFSET('Data Table'!$A462,2,Settings!$G$5-1)),"",OFFSET('Data Table'!$A462,2,Settings!$G$5-1))</f>
        <v/>
      </c>
      <c r="E467" s="106" t="str">
        <f ca="1">IF(ISBLANK(OFFSET('Data Table'!$A462,2,Settings!$G$5)),"",OFFSET('Data Table'!$A462,2,Settings!$G$5))</f>
        <v/>
      </c>
      <c r="F467" s="143">
        <f ca="1">IF(ISBLANK(OFFSET('Data Table'!$A462,2,Settings!$G$5+1)),"",OFFSET('Data Table'!$A462,2,Settings!$G$5+1))</f>
        <v>20</v>
      </c>
      <c r="G467">
        <f t="shared" ca="1" si="7"/>
        <v>20</v>
      </c>
      <c r="H467">
        <f ca="1">IF(G467=-888,"",IF(G467=-999,Settings!$G$4,IF(AND($AA$6="Excluded",G467&gt;=Settings!$G$2),"",G467)))</f>
        <v>20</v>
      </c>
      <c r="I467">
        <f ca="1">IF(OR(G467=-999,G467=-888,AND($AA$6="Excluded",G467&gt;=Settings!$G$2)),"",G467)</f>
        <v>20</v>
      </c>
      <c r="O467" s="46"/>
    </row>
    <row r="468" spans="1:15" x14ac:dyDescent="0.2">
      <c r="A468" s="1">
        <v>463</v>
      </c>
      <c r="B468" t="str">
        <f>IF(ISERROR(MATCH(TRIM('Data Table'!D465),Settings!$G$15:$G$20,0)),TRIM('Data Table'!D465),LOOKUP(TRIM('Data Table'!D465),Settings!$G$15:$G$20,Settings!$H$15:$H$20))</f>
        <v>Forsyth</v>
      </c>
      <c r="C468" t="str">
        <f>IF('Data Table'!F465="","SS",IF('Data Table'!F465="SF","SD",TRIM('Data Table'!F465)))</f>
        <v>SB</v>
      </c>
      <c r="D468" s="106" t="str">
        <f ca="1">IF(ISBLANK(OFFSET('Data Table'!$A463,2,Settings!$G$5-1)),"",OFFSET('Data Table'!$A463,2,Settings!$G$5-1))</f>
        <v/>
      </c>
      <c r="E468" s="106">
        <f ca="1">IF(ISBLANK(OFFSET('Data Table'!$A463,2,Settings!$G$5)),"",OFFSET('Data Table'!$A463,2,Settings!$G$5))</f>
        <v>141.12</v>
      </c>
      <c r="F468" s="143" t="str">
        <f ca="1">IF(ISBLANK(OFFSET('Data Table'!$A463,2,Settings!$G$5+1)),"",OFFSET('Data Table'!$A463,2,Settings!$G$5+1))</f>
        <v/>
      </c>
      <c r="G468">
        <f t="shared" ca="1" si="7"/>
        <v>141.12</v>
      </c>
      <c r="H468">
        <f ca="1">IF(G468=-888,"",IF(G468=-999,Settings!$G$4,IF(AND($AA$6="Excluded",G468&gt;=Settings!$G$2),"",G468)))</f>
        <v>141.12</v>
      </c>
      <c r="I468">
        <f ca="1">IF(OR(G468=-999,G468=-888,AND($AA$6="Excluded",G468&gt;=Settings!$G$2)),"",G468)</f>
        <v>141.12</v>
      </c>
      <c r="O468" s="46"/>
    </row>
    <row r="469" spans="1:15" x14ac:dyDescent="0.2">
      <c r="A469" s="1">
        <v>464</v>
      </c>
      <c r="B469" t="str">
        <f>IF(ISERROR(MATCH(TRIM('Data Table'!D466),Settings!$G$15:$G$20,0)),TRIM('Data Table'!D466),LOOKUP(TRIM('Data Table'!D466),Settings!$G$15:$G$20,Settings!$H$15:$H$20))</f>
        <v>Durham</v>
      </c>
      <c r="C469" t="str">
        <f>IF('Data Table'!F466="","SS",IF('Data Table'!F466="SF","SD",TRIM('Data Table'!F466)))</f>
        <v>SS</v>
      </c>
      <c r="D469" s="106">
        <f ca="1">IF(ISBLANK(OFFSET('Data Table'!$A464,2,Settings!$G$5-1)),"",OFFSET('Data Table'!$A464,2,Settings!$G$5-1))</f>
        <v>580</v>
      </c>
      <c r="E469" s="106" t="str">
        <f ca="1">IF(ISBLANK(OFFSET('Data Table'!$A464,2,Settings!$G$5)),"",OFFSET('Data Table'!$A464,2,Settings!$G$5))</f>
        <v/>
      </c>
      <c r="F469" s="143" t="str">
        <f ca="1">IF(ISBLANK(OFFSET('Data Table'!$A464,2,Settings!$G$5+1)),"",OFFSET('Data Table'!$A464,2,Settings!$G$5+1))</f>
        <v/>
      </c>
      <c r="G469">
        <f t="shared" ca="1" si="7"/>
        <v>580</v>
      </c>
      <c r="H469">
        <f ca="1">IF(G469=-888,"",IF(G469=-999,Settings!$G$4,IF(AND($AA$6="Excluded",G469&gt;=Settings!$G$2),"",G469)))</f>
        <v>580</v>
      </c>
      <c r="I469">
        <f ca="1">IF(OR(G469=-999,G469=-888,AND($AA$6="Excluded",G469&gt;=Settings!$G$2)),"",G469)</f>
        <v>580</v>
      </c>
      <c r="O469" s="46"/>
    </row>
    <row r="470" spans="1:15" x14ac:dyDescent="0.2">
      <c r="A470" s="1">
        <v>465</v>
      </c>
      <c r="B470" t="str">
        <f>IF(ISERROR(MATCH(TRIM('Data Table'!D467),Settings!$G$15:$G$20,0)),TRIM('Data Table'!D467),LOOKUP(TRIM('Data Table'!D467),Settings!$G$15:$G$20,Settings!$H$15:$H$20))</f>
        <v>Lee</v>
      </c>
      <c r="C470" t="str">
        <f>IF('Data Table'!F467="","SS",IF('Data Table'!F467="SF","SD",TRIM('Data Table'!F467)))</f>
        <v>SS</v>
      </c>
      <c r="D470" s="106">
        <f ca="1">IF(ISBLANK(OFFSET('Data Table'!$A465,2,Settings!$G$5-1)),"",OFFSET('Data Table'!$A465,2,Settings!$G$5-1))</f>
        <v>5</v>
      </c>
      <c r="E470" s="106" t="str">
        <f ca="1">IF(ISBLANK(OFFSET('Data Table'!$A465,2,Settings!$G$5)),"",OFFSET('Data Table'!$A465,2,Settings!$G$5))</f>
        <v/>
      </c>
      <c r="F470" s="143" t="str">
        <f ca="1">IF(ISBLANK(OFFSET('Data Table'!$A465,2,Settings!$G$5+1)),"",OFFSET('Data Table'!$A465,2,Settings!$G$5+1))</f>
        <v/>
      </c>
      <c r="G470">
        <f t="shared" ca="1" si="7"/>
        <v>5</v>
      </c>
      <c r="H470">
        <f ca="1">IF(G470=-888,"",IF(G470=-999,Settings!$G$4,IF(AND($AA$6="Excluded",G470&gt;=Settings!$G$2),"",G470)))</f>
        <v>5</v>
      </c>
      <c r="I470">
        <f ca="1">IF(OR(G470=-999,G470=-888,AND($AA$6="Excluded",G470&gt;=Settings!$G$2)),"",G470)</f>
        <v>5</v>
      </c>
      <c r="O470" s="46"/>
    </row>
    <row r="471" spans="1:15" x14ac:dyDescent="0.2">
      <c r="A471" s="1">
        <v>466</v>
      </c>
      <c r="B471" t="str">
        <f>IF(ISERROR(MATCH(TRIM('Data Table'!D468),Settings!$G$15:$G$20,0)),TRIM('Data Table'!D468),LOOKUP(TRIM('Data Table'!D468),Settings!$G$15:$G$20,Settings!$H$15:$H$20))</f>
        <v>Cabarrus</v>
      </c>
      <c r="C471" t="str">
        <f>IF('Data Table'!F468="","SS",IF('Data Table'!F468="SF","SD",TRIM('Data Table'!F468)))</f>
        <v>SB</v>
      </c>
      <c r="D471" s="106">
        <f ca="1">IF(ISBLANK(OFFSET('Data Table'!$A466,2,Settings!$G$5-1)),"",OFFSET('Data Table'!$A466,2,Settings!$G$5-1))</f>
        <v>12</v>
      </c>
      <c r="E471" s="106" t="str">
        <f ca="1">IF(ISBLANK(OFFSET('Data Table'!$A466,2,Settings!$G$5)),"",OFFSET('Data Table'!$A466,2,Settings!$G$5))</f>
        <v/>
      </c>
      <c r="F471" s="143" t="str">
        <f ca="1">IF(ISBLANK(OFFSET('Data Table'!$A466,2,Settings!$G$5+1)),"",OFFSET('Data Table'!$A466,2,Settings!$G$5+1))</f>
        <v/>
      </c>
      <c r="G471">
        <f t="shared" ca="1" si="7"/>
        <v>12</v>
      </c>
      <c r="H471">
        <f ca="1">IF(G471=-888,"",IF(G471=-999,Settings!$G$4,IF(AND($AA$6="Excluded",G471&gt;=Settings!$G$2),"",G471)))</f>
        <v>12</v>
      </c>
      <c r="I471">
        <f ca="1">IF(OR(G471=-999,G471=-888,AND($AA$6="Excluded",G471&gt;=Settings!$G$2)),"",G471)</f>
        <v>12</v>
      </c>
      <c r="O471" s="46"/>
    </row>
    <row r="472" spans="1:15" x14ac:dyDescent="0.2">
      <c r="A472" s="1">
        <v>467</v>
      </c>
      <c r="B472" t="str">
        <f>IF(ISERROR(MATCH(TRIM('Data Table'!D469),Settings!$G$15:$G$20,0)),TRIM('Data Table'!D469),LOOKUP(TRIM('Data Table'!D469),Settings!$G$15:$G$20,Settings!$H$15:$H$20))</f>
        <v>Cabarrus</v>
      </c>
      <c r="C472" t="str">
        <f>IF('Data Table'!F469="","SS",IF('Data Table'!F469="SF","SD",TRIM('Data Table'!F469)))</f>
        <v>SB</v>
      </c>
      <c r="D472" s="106">
        <f ca="1">IF(ISBLANK(OFFSET('Data Table'!$A467,2,Settings!$G$5-1)),"",OFFSET('Data Table'!$A467,2,Settings!$G$5-1))</f>
        <v>18</v>
      </c>
      <c r="E472" s="106" t="str">
        <f ca="1">IF(ISBLANK(OFFSET('Data Table'!$A467,2,Settings!$G$5)),"",OFFSET('Data Table'!$A467,2,Settings!$G$5))</f>
        <v/>
      </c>
      <c r="F472" s="143" t="str">
        <f ca="1">IF(ISBLANK(OFFSET('Data Table'!$A467,2,Settings!$G$5+1)),"",OFFSET('Data Table'!$A467,2,Settings!$G$5+1))</f>
        <v/>
      </c>
      <c r="G472">
        <f t="shared" ca="1" si="7"/>
        <v>18</v>
      </c>
      <c r="H472">
        <f ca="1">IF(G472=-888,"",IF(G472=-999,Settings!$G$4,IF(AND($AA$6="Excluded",G472&gt;=Settings!$G$2),"",G472)))</f>
        <v>18</v>
      </c>
      <c r="I472">
        <f ca="1">IF(OR(G472=-999,G472=-888,AND($AA$6="Excluded",G472&gt;=Settings!$G$2)),"",G472)</f>
        <v>18</v>
      </c>
      <c r="O472" s="46"/>
    </row>
    <row r="473" spans="1:15" x14ac:dyDescent="0.2">
      <c r="A473" s="1">
        <v>468</v>
      </c>
      <c r="B473" t="str">
        <f>IF(ISERROR(MATCH(TRIM('Data Table'!D470),Settings!$G$15:$G$20,0)),TRIM('Data Table'!D470),LOOKUP(TRIM('Data Table'!D470),Settings!$G$15:$G$20,Settings!$H$15:$H$20))</f>
        <v>Cabarrus</v>
      </c>
      <c r="C473" t="str">
        <f>IF('Data Table'!F470="","SS",IF('Data Table'!F470="SF","SD",TRIM('Data Table'!F470)))</f>
        <v>SB</v>
      </c>
      <c r="D473" s="106">
        <f ca="1">IF(ISBLANK(OFFSET('Data Table'!$A468,2,Settings!$G$5-1)),"",OFFSET('Data Table'!$A468,2,Settings!$G$5-1))</f>
        <v>12</v>
      </c>
      <c r="E473" s="106" t="str">
        <f ca="1">IF(ISBLANK(OFFSET('Data Table'!$A468,2,Settings!$G$5)),"",OFFSET('Data Table'!$A468,2,Settings!$G$5))</f>
        <v/>
      </c>
      <c r="F473" s="143" t="str">
        <f ca="1">IF(ISBLANK(OFFSET('Data Table'!$A468,2,Settings!$G$5+1)),"",OFFSET('Data Table'!$A468,2,Settings!$G$5+1))</f>
        <v/>
      </c>
      <c r="G473">
        <f t="shared" ca="1" si="7"/>
        <v>12</v>
      </c>
      <c r="H473">
        <f ca="1">IF(G473=-888,"",IF(G473=-999,Settings!$G$4,IF(AND($AA$6="Excluded",G473&gt;=Settings!$G$2),"",G473)))</f>
        <v>12</v>
      </c>
      <c r="I473">
        <f ca="1">IF(OR(G473=-999,G473=-888,AND($AA$6="Excluded",G473&gt;=Settings!$G$2)),"",G473)</f>
        <v>12</v>
      </c>
      <c r="O473" s="46"/>
    </row>
    <row r="474" spans="1:15" x14ac:dyDescent="0.2">
      <c r="A474" s="1">
        <v>469</v>
      </c>
      <c r="B474" t="str">
        <f>IF(ISERROR(MATCH(TRIM('Data Table'!D471),Settings!$G$15:$G$20,0)),TRIM('Data Table'!D471),LOOKUP(TRIM('Data Table'!D471),Settings!$G$15:$G$20,Settings!$H$15:$H$20))</f>
        <v>Cabarrus</v>
      </c>
      <c r="C474" t="str">
        <f>IF('Data Table'!F471="","SS",IF('Data Table'!F471="SF","SD",TRIM('Data Table'!F471)))</f>
        <v>SB</v>
      </c>
      <c r="D474" s="106">
        <f ca="1">IF(ISBLANK(OFFSET('Data Table'!$A469,2,Settings!$G$5-1)),"",OFFSET('Data Table'!$A469,2,Settings!$G$5-1))</f>
        <v>11</v>
      </c>
      <c r="E474" s="106" t="str">
        <f ca="1">IF(ISBLANK(OFFSET('Data Table'!$A469,2,Settings!$G$5)),"",OFFSET('Data Table'!$A469,2,Settings!$G$5))</f>
        <v/>
      </c>
      <c r="F474" s="143" t="str">
        <f ca="1">IF(ISBLANK(OFFSET('Data Table'!$A469,2,Settings!$G$5+1)),"",OFFSET('Data Table'!$A469,2,Settings!$G$5+1))</f>
        <v/>
      </c>
      <c r="G474">
        <f t="shared" ca="1" si="7"/>
        <v>11</v>
      </c>
      <c r="H474">
        <f ca="1">IF(G474=-888,"",IF(G474=-999,Settings!$G$4,IF(AND($AA$6="Excluded",G474&gt;=Settings!$G$2),"",G474)))</f>
        <v>11</v>
      </c>
      <c r="I474">
        <f ca="1">IF(OR(G474=-999,G474=-888,AND($AA$6="Excluded",G474&gt;=Settings!$G$2)),"",G474)</f>
        <v>11</v>
      </c>
      <c r="O474" s="46"/>
    </row>
    <row r="475" spans="1:15" x14ac:dyDescent="0.2">
      <c r="A475" s="1">
        <v>470</v>
      </c>
      <c r="B475" t="str">
        <f>IF(ISERROR(MATCH(TRIM('Data Table'!D472),Settings!$G$15:$G$20,0)),TRIM('Data Table'!D472),LOOKUP(TRIM('Data Table'!D472),Settings!$G$15:$G$20,Settings!$H$15:$H$20))</f>
        <v>Cabarrus</v>
      </c>
      <c r="C475" t="str">
        <f>IF('Data Table'!F472="","SS",IF('Data Table'!F472="SF","SD",TRIM('Data Table'!F472)))</f>
        <v>SD</v>
      </c>
      <c r="D475" s="106">
        <f ca="1">IF(ISBLANK(OFFSET('Data Table'!$A470,2,Settings!$G$5-1)),"",OFFSET('Data Table'!$A470,2,Settings!$G$5-1))</f>
        <v>6.2</v>
      </c>
      <c r="E475" s="106" t="str">
        <f ca="1">IF(ISBLANK(OFFSET('Data Table'!$A470,2,Settings!$G$5)),"",OFFSET('Data Table'!$A470,2,Settings!$G$5))</f>
        <v/>
      </c>
      <c r="F475" s="143" t="str">
        <f ca="1">IF(ISBLANK(OFFSET('Data Table'!$A470,2,Settings!$G$5+1)),"",OFFSET('Data Table'!$A470,2,Settings!$G$5+1))</f>
        <v/>
      </c>
      <c r="G475">
        <f t="shared" ca="1" si="7"/>
        <v>6.2</v>
      </c>
      <c r="H475">
        <f ca="1">IF(G475=-888,"",IF(G475=-999,Settings!$G$4,IF(AND($AA$6="Excluded",G475&gt;=Settings!$G$2),"",G475)))</f>
        <v>6.2</v>
      </c>
      <c r="I475">
        <f ca="1">IF(OR(G475=-999,G475=-888,AND($AA$6="Excluded",G475&gt;=Settings!$G$2)),"",G475)</f>
        <v>6.2</v>
      </c>
      <c r="O475" s="46"/>
    </row>
    <row r="476" spans="1:15" x14ac:dyDescent="0.2">
      <c r="A476" s="1">
        <v>471</v>
      </c>
      <c r="B476" t="str">
        <f>IF(ISERROR(MATCH(TRIM('Data Table'!D473),Settings!$G$15:$G$20,0)),TRIM('Data Table'!D473),LOOKUP(TRIM('Data Table'!D473),Settings!$G$15:$G$20,Settings!$H$15:$H$20))</f>
        <v>Cabarrus</v>
      </c>
      <c r="C476" t="str">
        <f>IF('Data Table'!F473="","SS",IF('Data Table'!F473="SF","SD",TRIM('Data Table'!F473)))</f>
        <v>SD</v>
      </c>
      <c r="D476" s="106">
        <f ca="1">IF(ISBLANK(OFFSET('Data Table'!$A471,2,Settings!$G$5-1)),"",OFFSET('Data Table'!$A471,2,Settings!$G$5-1))</f>
        <v>9.6</v>
      </c>
      <c r="E476" s="106" t="str">
        <f ca="1">IF(ISBLANK(OFFSET('Data Table'!$A471,2,Settings!$G$5)),"",OFFSET('Data Table'!$A471,2,Settings!$G$5))</f>
        <v/>
      </c>
      <c r="F476" s="143" t="str">
        <f ca="1">IF(ISBLANK(OFFSET('Data Table'!$A471,2,Settings!$G$5+1)),"",OFFSET('Data Table'!$A471,2,Settings!$G$5+1))</f>
        <v/>
      </c>
      <c r="G476">
        <f t="shared" ca="1" si="7"/>
        <v>9.6</v>
      </c>
      <c r="H476">
        <f ca="1">IF(G476=-888,"",IF(G476=-999,Settings!$G$4,IF(AND($AA$6="Excluded",G476&gt;=Settings!$G$2),"",G476)))</f>
        <v>9.6</v>
      </c>
      <c r="I476">
        <f ca="1">IF(OR(G476=-999,G476=-888,AND($AA$6="Excluded",G476&gt;=Settings!$G$2)),"",G476)</f>
        <v>9.6</v>
      </c>
      <c r="O476" s="46"/>
    </row>
    <row r="477" spans="1:15" x14ac:dyDescent="0.2">
      <c r="A477" s="1">
        <v>472</v>
      </c>
      <c r="B477" t="str">
        <f>IF(ISERROR(MATCH(TRIM('Data Table'!D474),Settings!$G$15:$G$20,0)),TRIM('Data Table'!D474),LOOKUP(TRIM('Data Table'!D474),Settings!$G$15:$G$20,Settings!$H$15:$H$20))</f>
        <v>Cabarrus</v>
      </c>
      <c r="C477" t="str">
        <f>IF('Data Table'!F474="","SS",IF('Data Table'!F474="SF","SD",TRIM('Data Table'!F474)))</f>
        <v>SD</v>
      </c>
      <c r="D477" s="106" t="str">
        <f ca="1">IF(ISBLANK(OFFSET('Data Table'!$A472,2,Settings!$G$5-1)),"",OFFSET('Data Table'!$A472,2,Settings!$G$5-1))</f>
        <v>#</v>
      </c>
      <c r="E477" s="106" t="str">
        <f ca="1">IF(ISBLANK(OFFSET('Data Table'!$A472,2,Settings!$G$5)),"",OFFSET('Data Table'!$A472,2,Settings!$G$5))</f>
        <v/>
      </c>
      <c r="F477" s="143" t="str">
        <f ca="1">IF(ISBLANK(OFFSET('Data Table'!$A472,2,Settings!$G$5+1)),"",OFFSET('Data Table'!$A472,2,Settings!$G$5+1))</f>
        <v/>
      </c>
      <c r="G477">
        <f t="shared" ca="1" si="7"/>
        <v>-999</v>
      </c>
      <c r="H477">
        <f ca="1">IF(G477=-888,"",IF(G477=-999,Settings!$G$4,IF(AND($AA$6="Excluded",G477&gt;=Settings!$G$2),"",G477)))</f>
        <v>5.0000000000000001E-3</v>
      </c>
      <c r="I477" t="str">
        <f ca="1">IF(OR(G477=-999,G477=-888,AND($AA$6="Excluded",G477&gt;=Settings!$G$2)),"",G477)</f>
        <v/>
      </c>
      <c r="O477" s="46"/>
    </row>
    <row r="478" spans="1:15" x14ac:dyDescent="0.2">
      <c r="A478" s="1">
        <v>473</v>
      </c>
      <c r="B478" t="str">
        <f>IF(ISERROR(MATCH(TRIM('Data Table'!D475),Settings!$G$15:$G$20,0)),TRIM('Data Table'!D475),LOOKUP(TRIM('Data Table'!D475),Settings!$G$15:$G$20,Settings!$H$15:$H$20))</f>
        <v>Cabarrus</v>
      </c>
      <c r="C478" t="str">
        <f>IF('Data Table'!F475="","SS",IF('Data Table'!F475="SF","SD",TRIM('Data Table'!F475)))</f>
        <v>SD</v>
      </c>
      <c r="D478" s="106" t="str">
        <f ca="1">IF(ISBLANK(OFFSET('Data Table'!$A473,2,Settings!$G$5-1)),"",OFFSET('Data Table'!$A473,2,Settings!$G$5-1))</f>
        <v>#</v>
      </c>
      <c r="E478" s="106" t="str">
        <f ca="1">IF(ISBLANK(OFFSET('Data Table'!$A473,2,Settings!$G$5)),"",OFFSET('Data Table'!$A473,2,Settings!$G$5))</f>
        <v/>
      </c>
      <c r="F478" s="143" t="str">
        <f ca="1">IF(ISBLANK(OFFSET('Data Table'!$A473,2,Settings!$G$5+1)),"",OFFSET('Data Table'!$A473,2,Settings!$G$5+1))</f>
        <v/>
      </c>
      <c r="G478">
        <f t="shared" ca="1" si="7"/>
        <v>-999</v>
      </c>
      <c r="H478">
        <f ca="1">IF(G478=-888,"",IF(G478=-999,Settings!$G$4,IF(AND($AA$6="Excluded",G478&gt;=Settings!$G$2),"",G478)))</f>
        <v>5.0000000000000001E-3</v>
      </c>
      <c r="I478" t="str">
        <f ca="1">IF(OR(G478=-999,G478=-888,AND($AA$6="Excluded",G478&gt;=Settings!$G$2)),"",G478)</f>
        <v/>
      </c>
      <c r="O478" s="46"/>
    </row>
    <row r="479" spans="1:15" x14ac:dyDescent="0.2">
      <c r="A479" s="1">
        <v>474</v>
      </c>
      <c r="B479" t="str">
        <f>IF(ISERROR(MATCH(TRIM('Data Table'!D476),Settings!$G$15:$G$20,0)),TRIM('Data Table'!D476),LOOKUP(TRIM('Data Table'!D476),Settings!$G$15:$G$20,Settings!$H$15:$H$20))</f>
        <v>Cabarrus</v>
      </c>
      <c r="C479" t="str">
        <f>IF('Data Table'!F476="","SS",IF('Data Table'!F476="SF","SD",TRIM('Data Table'!F476)))</f>
        <v>SD</v>
      </c>
      <c r="D479" s="106" t="str">
        <f ca="1">IF(ISBLANK(OFFSET('Data Table'!$A474,2,Settings!$G$5-1)),"",OFFSET('Data Table'!$A474,2,Settings!$G$5-1))</f>
        <v>#</v>
      </c>
      <c r="E479" s="106" t="str">
        <f ca="1">IF(ISBLANK(OFFSET('Data Table'!$A474,2,Settings!$G$5)),"",OFFSET('Data Table'!$A474,2,Settings!$G$5))</f>
        <v/>
      </c>
      <c r="F479" s="143" t="str">
        <f ca="1">IF(ISBLANK(OFFSET('Data Table'!$A474,2,Settings!$G$5+1)),"",OFFSET('Data Table'!$A474,2,Settings!$G$5+1))</f>
        <v/>
      </c>
      <c r="G479">
        <f t="shared" ca="1" si="7"/>
        <v>-999</v>
      </c>
      <c r="H479">
        <f ca="1">IF(G479=-888,"",IF(G479=-999,Settings!$G$4,IF(AND($AA$6="Excluded",G479&gt;=Settings!$G$2),"",G479)))</f>
        <v>5.0000000000000001E-3</v>
      </c>
      <c r="I479" t="str">
        <f ca="1">IF(OR(G479=-999,G479=-888,AND($AA$6="Excluded",G479&gt;=Settings!$G$2)),"",G479)</f>
        <v/>
      </c>
      <c r="O479" s="46"/>
    </row>
    <row r="480" spans="1:15" x14ac:dyDescent="0.2">
      <c r="A480" s="1">
        <v>475</v>
      </c>
      <c r="B480" t="str">
        <f>IF(ISERROR(MATCH(TRIM('Data Table'!D477),Settings!$G$15:$G$20,0)),TRIM('Data Table'!D477),LOOKUP(TRIM('Data Table'!D477),Settings!$G$15:$G$20,Settings!$H$15:$H$20))</f>
        <v>Cabarrus</v>
      </c>
      <c r="C480" t="str">
        <f>IF('Data Table'!F477="","SS",IF('Data Table'!F477="SF","SD",TRIM('Data Table'!F477)))</f>
        <v>SD</v>
      </c>
      <c r="D480" s="106" t="str">
        <f ca="1">IF(ISBLANK(OFFSET('Data Table'!$A475,2,Settings!$G$5-1)),"",OFFSET('Data Table'!$A475,2,Settings!$G$5-1))</f>
        <v>#</v>
      </c>
      <c r="E480" s="106" t="str">
        <f ca="1">IF(ISBLANK(OFFSET('Data Table'!$A475,2,Settings!$G$5)),"",OFFSET('Data Table'!$A475,2,Settings!$G$5))</f>
        <v/>
      </c>
      <c r="F480" s="143" t="str">
        <f ca="1">IF(ISBLANK(OFFSET('Data Table'!$A475,2,Settings!$G$5+1)),"",OFFSET('Data Table'!$A475,2,Settings!$G$5+1))</f>
        <v/>
      </c>
      <c r="G480">
        <f t="shared" ca="1" si="7"/>
        <v>-999</v>
      </c>
      <c r="H480">
        <f ca="1">IF(G480=-888,"",IF(G480=-999,Settings!$G$4,IF(AND($AA$6="Excluded",G480&gt;=Settings!$G$2),"",G480)))</f>
        <v>5.0000000000000001E-3</v>
      </c>
      <c r="I480" t="str">
        <f ca="1">IF(OR(G480=-999,G480=-888,AND($AA$6="Excluded",G480&gt;=Settings!$G$2)),"",G480)</f>
        <v/>
      </c>
      <c r="O480" s="46"/>
    </row>
    <row r="481" spans="1:15" x14ac:dyDescent="0.2">
      <c r="A481" s="1">
        <v>476</v>
      </c>
      <c r="B481" t="str">
        <f>IF(ISERROR(MATCH(TRIM('Data Table'!D478),Settings!$G$15:$G$20,0)),TRIM('Data Table'!D478),LOOKUP(TRIM('Data Table'!D478),Settings!$G$15:$G$20,Settings!$H$15:$H$20))</f>
        <v>Cleveland</v>
      </c>
      <c r="C481" t="str">
        <f>IF('Data Table'!F478="","SS",IF('Data Table'!F478="SF","SD",TRIM('Data Table'!F478)))</f>
        <v>SS</v>
      </c>
      <c r="D481" s="106">
        <f ca="1">IF(ISBLANK(OFFSET('Data Table'!$A476,2,Settings!$G$5-1)),"",OFFSET('Data Table'!$A476,2,Settings!$G$5-1))</f>
        <v>20</v>
      </c>
      <c r="E481" s="106" t="str">
        <f ca="1">IF(ISBLANK(OFFSET('Data Table'!$A476,2,Settings!$G$5)),"",OFFSET('Data Table'!$A476,2,Settings!$G$5))</f>
        <v/>
      </c>
      <c r="F481" s="143" t="str">
        <f ca="1">IF(ISBLANK(OFFSET('Data Table'!$A476,2,Settings!$G$5+1)),"",OFFSET('Data Table'!$A476,2,Settings!$G$5+1))</f>
        <v/>
      </c>
      <c r="G481">
        <f t="shared" ca="1" si="7"/>
        <v>20</v>
      </c>
      <c r="H481">
        <f ca="1">IF(G481=-888,"",IF(G481=-999,Settings!$G$4,IF(AND($AA$6="Excluded",G481&gt;=Settings!$G$2),"",G481)))</f>
        <v>20</v>
      </c>
      <c r="I481">
        <f ca="1">IF(OR(G481=-999,G481=-888,AND($AA$6="Excluded",G481&gt;=Settings!$G$2)),"",G481)</f>
        <v>20</v>
      </c>
      <c r="O481" s="46"/>
    </row>
    <row r="482" spans="1:15" x14ac:dyDescent="0.2">
      <c r="A482" s="1">
        <v>477</v>
      </c>
      <c r="B482" t="str">
        <f>IF(ISERROR(MATCH(TRIM('Data Table'!D479),Settings!$G$15:$G$20,0)),TRIM('Data Table'!D479),LOOKUP(TRIM('Data Table'!D479),Settings!$G$15:$G$20,Settings!$H$15:$H$20))</f>
        <v>Lee</v>
      </c>
      <c r="C482" t="str">
        <f>IF('Data Table'!F479="","SS",IF('Data Table'!F479="SF","SD",TRIM('Data Table'!F479)))</f>
        <v>SS</v>
      </c>
      <c r="D482" s="106">
        <f ca="1">IF(ISBLANK(OFFSET('Data Table'!$A477,2,Settings!$G$5-1)),"",OFFSET('Data Table'!$A477,2,Settings!$G$5-1))</f>
        <v>29.6</v>
      </c>
      <c r="E482" s="106" t="str">
        <f ca="1">IF(ISBLANK(OFFSET('Data Table'!$A477,2,Settings!$G$5)),"",OFFSET('Data Table'!$A477,2,Settings!$G$5))</f>
        <v/>
      </c>
      <c r="F482" s="143" t="str">
        <f ca="1">IF(ISBLANK(OFFSET('Data Table'!$A477,2,Settings!$G$5+1)),"",OFFSET('Data Table'!$A477,2,Settings!$G$5+1))</f>
        <v/>
      </c>
      <c r="G482">
        <f t="shared" ca="1" si="7"/>
        <v>29.6</v>
      </c>
      <c r="H482">
        <f ca="1">IF(G482=-888,"",IF(G482=-999,Settings!$G$4,IF(AND($AA$6="Excluded",G482&gt;=Settings!$G$2),"",G482)))</f>
        <v>29.6</v>
      </c>
      <c r="I482">
        <f ca="1">IF(OR(G482=-999,G482=-888,AND($AA$6="Excluded",G482&gt;=Settings!$G$2)),"",G482)</f>
        <v>29.6</v>
      </c>
      <c r="O482" s="46"/>
    </row>
    <row r="483" spans="1:15" x14ac:dyDescent="0.2">
      <c r="A483" s="1">
        <v>478</v>
      </c>
      <c r="B483" t="str">
        <f>IF(ISERROR(MATCH(TRIM('Data Table'!D480),Settings!$G$15:$G$20,0)),TRIM('Data Table'!D480),LOOKUP(TRIM('Data Table'!D480),Settings!$G$15:$G$20,Settings!$H$15:$H$20))</f>
        <v>Lee</v>
      </c>
      <c r="C483" t="str">
        <f>IF('Data Table'!F480="","SS",IF('Data Table'!F480="SF","SD",TRIM('Data Table'!F480)))</f>
        <v>SS</v>
      </c>
      <c r="D483" s="106">
        <f ca="1">IF(ISBLANK(OFFSET('Data Table'!$A478,2,Settings!$G$5-1)),"",OFFSET('Data Table'!$A478,2,Settings!$G$5-1))</f>
        <v>42</v>
      </c>
      <c r="E483" s="106" t="str">
        <f ca="1">IF(ISBLANK(OFFSET('Data Table'!$A478,2,Settings!$G$5)),"",OFFSET('Data Table'!$A478,2,Settings!$G$5))</f>
        <v/>
      </c>
      <c r="F483" s="143" t="str">
        <f ca="1">IF(ISBLANK(OFFSET('Data Table'!$A478,2,Settings!$G$5+1)),"",OFFSET('Data Table'!$A478,2,Settings!$G$5+1))</f>
        <v/>
      </c>
      <c r="G483">
        <f t="shared" ca="1" si="7"/>
        <v>42</v>
      </c>
      <c r="H483">
        <f ca="1">IF(G483=-888,"",IF(G483=-999,Settings!$G$4,IF(AND($AA$6="Excluded",G483&gt;=Settings!$G$2),"",G483)))</f>
        <v>42</v>
      </c>
      <c r="I483">
        <f ca="1">IF(OR(G483=-999,G483=-888,AND($AA$6="Excluded",G483&gt;=Settings!$G$2)),"",G483)</f>
        <v>42</v>
      </c>
      <c r="O483" s="46"/>
    </row>
    <row r="484" spans="1:15" x14ac:dyDescent="0.2">
      <c r="A484" s="1">
        <v>479</v>
      </c>
      <c r="B484" t="str">
        <f>IF(ISERROR(MATCH(TRIM('Data Table'!D481),Settings!$G$15:$G$20,0)),TRIM('Data Table'!D481),LOOKUP(TRIM('Data Table'!D481),Settings!$G$15:$G$20,Settings!$H$15:$H$20))</f>
        <v>Lee</v>
      </c>
      <c r="C484" t="str">
        <f>IF('Data Table'!F481="","SS",IF('Data Table'!F481="SF","SD",TRIM('Data Table'!F481)))</f>
        <v>SS</v>
      </c>
      <c r="D484" s="106">
        <f ca="1">IF(ISBLANK(OFFSET('Data Table'!$A479,2,Settings!$G$5-1)),"",OFFSET('Data Table'!$A479,2,Settings!$G$5-1))</f>
        <v>80</v>
      </c>
      <c r="E484" s="106" t="str">
        <f ca="1">IF(ISBLANK(OFFSET('Data Table'!$A479,2,Settings!$G$5)),"",OFFSET('Data Table'!$A479,2,Settings!$G$5))</f>
        <v/>
      </c>
      <c r="F484" s="143" t="str">
        <f ca="1">IF(ISBLANK(OFFSET('Data Table'!$A479,2,Settings!$G$5+1)),"",OFFSET('Data Table'!$A479,2,Settings!$G$5+1))</f>
        <v/>
      </c>
      <c r="G484">
        <f t="shared" ca="1" si="7"/>
        <v>80</v>
      </c>
      <c r="H484">
        <f ca="1">IF(G484=-888,"",IF(G484=-999,Settings!$G$4,IF(AND($AA$6="Excluded",G484&gt;=Settings!$G$2),"",G484)))</f>
        <v>80</v>
      </c>
      <c r="I484">
        <f ca="1">IF(OR(G484=-999,G484=-888,AND($AA$6="Excluded",G484&gt;=Settings!$G$2)),"",G484)</f>
        <v>80</v>
      </c>
      <c r="O484" s="46"/>
    </row>
    <row r="485" spans="1:15" x14ac:dyDescent="0.2">
      <c r="A485" s="1">
        <v>480</v>
      </c>
      <c r="B485" t="str">
        <f>IF(ISERROR(MATCH(TRIM('Data Table'!D482),Settings!$G$15:$G$20,0)),TRIM('Data Table'!D482),LOOKUP(TRIM('Data Table'!D482),Settings!$G$15:$G$20,Settings!$H$15:$H$20))</f>
        <v>Lee</v>
      </c>
      <c r="C485" t="str">
        <f>IF('Data Table'!F482="","SS",IF('Data Table'!F482="SF","SD",TRIM('Data Table'!F482)))</f>
        <v>SS</v>
      </c>
      <c r="D485" s="106">
        <f ca="1">IF(ISBLANK(OFFSET('Data Table'!$A480,2,Settings!$G$5-1)),"",OFFSET('Data Table'!$A480,2,Settings!$G$5-1))</f>
        <v>25</v>
      </c>
      <c r="E485" s="106" t="str">
        <f ca="1">IF(ISBLANK(OFFSET('Data Table'!$A480,2,Settings!$G$5)),"",OFFSET('Data Table'!$A480,2,Settings!$G$5))</f>
        <v/>
      </c>
      <c r="F485" s="143" t="str">
        <f ca="1">IF(ISBLANK(OFFSET('Data Table'!$A480,2,Settings!$G$5+1)),"",OFFSET('Data Table'!$A480,2,Settings!$G$5+1))</f>
        <v/>
      </c>
      <c r="G485">
        <f t="shared" ca="1" si="7"/>
        <v>25</v>
      </c>
      <c r="H485">
        <f ca="1">IF(G485=-888,"",IF(G485=-999,Settings!$G$4,IF(AND($AA$6="Excluded",G485&gt;=Settings!$G$2),"",G485)))</f>
        <v>25</v>
      </c>
      <c r="I485">
        <f ca="1">IF(OR(G485=-999,G485=-888,AND($AA$6="Excluded",G485&gt;=Settings!$G$2)),"",G485)</f>
        <v>25</v>
      </c>
      <c r="O485" s="46"/>
    </row>
    <row r="486" spans="1:15" x14ac:dyDescent="0.2">
      <c r="A486" s="1">
        <v>481</v>
      </c>
      <c r="B486" t="str">
        <f>IF(ISERROR(MATCH(TRIM('Data Table'!D483),Settings!$G$15:$G$20,0)),TRIM('Data Table'!D483),LOOKUP(TRIM('Data Table'!D483),Settings!$G$15:$G$20,Settings!$H$15:$H$20))</f>
        <v>Mecklenburg</v>
      </c>
      <c r="C486" t="str">
        <f>IF('Data Table'!F483="","SS",IF('Data Table'!F483="SF","SD",TRIM('Data Table'!F483)))</f>
        <v>SB</v>
      </c>
      <c r="D486" s="106" t="str">
        <f ca="1">IF(ISBLANK(OFFSET('Data Table'!$A481,2,Settings!$G$5-1)),"",OFFSET('Data Table'!$A481,2,Settings!$G$5-1))</f>
        <v/>
      </c>
      <c r="E486" s="106">
        <f ca="1">IF(ISBLANK(OFFSET('Data Table'!$A481,2,Settings!$G$5)),"",OFFSET('Data Table'!$A481,2,Settings!$G$5))</f>
        <v>4.4639999999999995</v>
      </c>
      <c r="F486" s="143" t="str">
        <f ca="1">IF(ISBLANK(OFFSET('Data Table'!$A481,2,Settings!$G$5+1)),"",OFFSET('Data Table'!$A481,2,Settings!$G$5+1))</f>
        <v/>
      </c>
      <c r="G486">
        <f t="shared" ca="1" si="7"/>
        <v>4.4639999999999995</v>
      </c>
      <c r="H486">
        <f ca="1">IF(G486=-888,"",IF(G486=-999,Settings!$G$4,IF(AND($AA$6="Excluded",G486&gt;=Settings!$G$2),"",G486)))</f>
        <v>4.4639999999999995</v>
      </c>
      <c r="I486">
        <f ca="1">IF(OR(G486=-999,G486=-888,AND($AA$6="Excluded",G486&gt;=Settings!$G$2)),"",G486)</f>
        <v>4.4639999999999995</v>
      </c>
      <c r="O486" s="46"/>
    </row>
    <row r="487" spans="1:15" x14ac:dyDescent="0.2">
      <c r="A487" s="1">
        <v>482</v>
      </c>
      <c r="B487" t="str">
        <f>IF(ISERROR(MATCH(TRIM('Data Table'!D484),Settings!$G$15:$G$20,0)),TRIM('Data Table'!D484),LOOKUP(TRIM('Data Table'!D484),Settings!$G$15:$G$20,Settings!$H$15:$H$20))</f>
        <v>Dare</v>
      </c>
      <c r="C487" t="str">
        <f>IF('Data Table'!F484="","SS",IF('Data Table'!F484="SF","SD",TRIM('Data Table'!F484)))</f>
        <v>SD</v>
      </c>
      <c r="D487" s="106" t="str">
        <f ca="1">IF(ISBLANK(OFFSET('Data Table'!$A482,2,Settings!$G$5-1)),"",OFFSET('Data Table'!$A482,2,Settings!$G$5-1))</f>
        <v/>
      </c>
      <c r="E487" s="106">
        <f ca="1">IF(ISBLANK(OFFSET('Data Table'!$A482,2,Settings!$G$5)),"",OFFSET('Data Table'!$A482,2,Settings!$G$5))</f>
        <v>11</v>
      </c>
      <c r="F487" s="143" t="str">
        <f ca="1">IF(ISBLANK(OFFSET('Data Table'!$A482,2,Settings!$G$5+1)),"",OFFSET('Data Table'!$A482,2,Settings!$G$5+1))</f>
        <v/>
      </c>
      <c r="G487">
        <f t="shared" ca="1" si="7"/>
        <v>11</v>
      </c>
      <c r="H487">
        <f ca="1">IF(G487=-888,"",IF(G487=-999,Settings!$G$4,IF(AND($AA$6="Excluded",G487&gt;=Settings!$G$2),"",G487)))</f>
        <v>11</v>
      </c>
      <c r="I487">
        <f ca="1">IF(OR(G487=-999,G487=-888,AND($AA$6="Excluded",G487&gt;=Settings!$G$2)),"",G487)</f>
        <v>11</v>
      </c>
      <c r="O487" s="46"/>
    </row>
    <row r="488" spans="1:15" x14ac:dyDescent="0.2">
      <c r="A488" s="1">
        <v>483</v>
      </c>
      <c r="B488" t="str">
        <f>IF(ISERROR(MATCH(TRIM('Data Table'!D485),Settings!$G$15:$G$20,0)),TRIM('Data Table'!D485),LOOKUP(TRIM('Data Table'!D485),Settings!$G$15:$G$20,Settings!$H$15:$H$20))</f>
        <v>Dare</v>
      </c>
      <c r="C488" t="str">
        <f>IF('Data Table'!F485="","SS",IF('Data Table'!F485="SF","SD",TRIM('Data Table'!F485)))</f>
        <v>SD</v>
      </c>
      <c r="D488" s="106" t="str">
        <f ca="1">IF(ISBLANK(OFFSET('Data Table'!$A483,2,Settings!$G$5-1)),"",OFFSET('Data Table'!$A483,2,Settings!$G$5-1))</f>
        <v/>
      </c>
      <c r="E488" s="106">
        <f ca="1">IF(ISBLANK(OFFSET('Data Table'!$A483,2,Settings!$G$5)),"",OFFSET('Data Table'!$A483,2,Settings!$G$5))</f>
        <v>14</v>
      </c>
      <c r="F488" s="143" t="str">
        <f ca="1">IF(ISBLANK(OFFSET('Data Table'!$A483,2,Settings!$G$5+1)),"",OFFSET('Data Table'!$A483,2,Settings!$G$5+1))</f>
        <v/>
      </c>
      <c r="G488">
        <f t="shared" ca="1" si="7"/>
        <v>14</v>
      </c>
      <c r="H488">
        <f ca="1">IF(G488=-888,"",IF(G488=-999,Settings!$G$4,IF(AND($AA$6="Excluded",G488&gt;=Settings!$G$2),"",G488)))</f>
        <v>14</v>
      </c>
      <c r="I488">
        <f ca="1">IF(OR(G488=-999,G488=-888,AND($AA$6="Excluded",G488&gt;=Settings!$G$2)),"",G488)</f>
        <v>14</v>
      </c>
      <c r="O488" s="46"/>
    </row>
    <row r="489" spans="1:15" x14ac:dyDescent="0.2">
      <c r="A489" s="1">
        <v>484</v>
      </c>
      <c r="B489" t="str">
        <f>IF(ISERROR(MATCH(TRIM('Data Table'!D486),Settings!$G$15:$G$20,0)),TRIM('Data Table'!D486),LOOKUP(TRIM('Data Table'!D486),Settings!$G$15:$G$20,Settings!$H$15:$H$20))</f>
        <v>Dare</v>
      </c>
      <c r="C489" t="str">
        <f>IF('Data Table'!F486="","SS",IF('Data Table'!F486="SF","SD",TRIM('Data Table'!F486)))</f>
        <v>SD</v>
      </c>
      <c r="D489" s="106" t="str">
        <f ca="1">IF(ISBLANK(OFFSET('Data Table'!$A484,2,Settings!$G$5-1)),"",OFFSET('Data Table'!$A484,2,Settings!$G$5-1))</f>
        <v/>
      </c>
      <c r="E489" s="106">
        <f ca="1">IF(ISBLANK(OFFSET('Data Table'!$A484,2,Settings!$G$5)),"",OFFSET('Data Table'!$A484,2,Settings!$G$5))</f>
        <v>5.2</v>
      </c>
      <c r="F489" s="143" t="str">
        <f ca="1">IF(ISBLANK(OFFSET('Data Table'!$A484,2,Settings!$G$5+1)),"",OFFSET('Data Table'!$A484,2,Settings!$G$5+1))</f>
        <v/>
      </c>
      <c r="G489">
        <f t="shared" ca="1" si="7"/>
        <v>5.2</v>
      </c>
      <c r="H489">
        <f ca="1">IF(G489=-888,"",IF(G489=-999,Settings!$G$4,IF(AND($AA$6="Excluded",G489&gt;=Settings!$G$2),"",G489)))</f>
        <v>5.2</v>
      </c>
      <c r="I489">
        <f ca="1">IF(OR(G489=-999,G489=-888,AND($AA$6="Excluded",G489&gt;=Settings!$G$2)),"",G489)</f>
        <v>5.2</v>
      </c>
      <c r="O489" s="46"/>
    </row>
    <row r="490" spans="1:15" x14ac:dyDescent="0.2">
      <c r="A490" s="1">
        <v>485</v>
      </c>
      <c r="B490" t="str">
        <f>IF(ISERROR(MATCH(TRIM('Data Table'!D487),Settings!$G$15:$G$20,0)),TRIM('Data Table'!D487),LOOKUP(TRIM('Data Table'!D487),Settings!$G$15:$G$20,Settings!$H$15:$H$20))</f>
        <v>Dare</v>
      </c>
      <c r="C490" t="str">
        <f>IF('Data Table'!F487="","SS",IF('Data Table'!F487="SF","SD",TRIM('Data Table'!F487)))</f>
        <v>SS</v>
      </c>
      <c r="D490" s="106" t="str">
        <f ca="1">IF(ISBLANK(OFFSET('Data Table'!$A485,2,Settings!$G$5-1)),"",OFFSET('Data Table'!$A485,2,Settings!$G$5-1))</f>
        <v/>
      </c>
      <c r="E490" s="106">
        <f ca="1">IF(ISBLANK(OFFSET('Data Table'!$A485,2,Settings!$G$5)),"",OFFSET('Data Table'!$A485,2,Settings!$G$5))</f>
        <v>6.048</v>
      </c>
      <c r="F490" s="143" t="str">
        <f ca="1">IF(ISBLANK(OFFSET('Data Table'!$A485,2,Settings!$G$5+1)),"",OFFSET('Data Table'!$A485,2,Settings!$G$5+1))</f>
        <v/>
      </c>
      <c r="G490">
        <f t="shared" ca="1" si="7"/>
        <v>6.048</v>
      </c>
      <c r="H490">
        <f ca="1">IF(G490=-888,"",IF(G490=-999,Settings!$G$4,IF(AND($AA$6="Excluded",G490&gt;=Settings!$G$2),"",G490)))</f>
        <v>6.048</v>
      </c>
      <c r="I490">
        <f ca="1">IF(OR(G490=-999,G490=-888,AND($AA$6="Excluded",G490&gt;=Settings!$G$2)),"",G490)</f>
        <v>6.048</v>
      </c>
      <c r="O490" s="46"/>
    </row>
    <row r="491" spans="1:15" x14ac:dyDescent="0.2">
      <c r="A491" s="1">
        <v>486</v>
      </c>
      <c r="B491" t="str">
        <f>IF(ISERROR(MATCH(TRIM('Data Table'!D488),Settings!$G$15:$G$20,0)),TRIM('Data Table'!D488),LOOKUP(TRIM('Data Table'!D488),Settings!$G$15:$G$20,Settings!$H$15:$H$20))</f>
        <v>Dare</v>
      </c>
      <c r="C491" t="str">
        <f>IF('Data Table'!F488="","SS",IF('Data Table'!F488="SF","SD",TRIM('Data Table'!F488)))</f>
        <v>SB</v>
      </c>
      <c r="D491" s="106" t="str">
        <f ca="1">IF(ISBLANK(OFFSET('Data Table'!$A486,2,Settings!$G$5-1)),"",OFFSET('Data Table'!$A486,2,Settings!$G$5-1))</f>
        <v/>
      </c>
      <c r="E491" s="106">
        <f ca="1">IF(ISBLANK(OFFSET('Data Table'!$A486,2,Settings!$G$5)),"",OFFSET('Data Table'!$A486,2,Settings!$G$5))</f>
        <v>5.3280000000000003</v>
      </c>
      <c r="F491" s="143" t="str">
        <f ca="1">IF(ISBLANK(OFFSET('Data Table'!$A486,2,Settings!$G$5+1)),"",OFFSET('Data Table'!$A486,2,Settings!$G$5+1))</f>
        <v/>
      </c>
      <c r="G491">
        <f t="shared" ca="1" si="7"/>
        <v>5.3280000000000003</v>
      </c>
      <c r="H491">
        <f ca="1">IF(G491=-888,"",IF(G491=-999,Settings!$G$4,IF(AND($AA$6="Excluded",G491&gt;=Settings!$G$2),"",G491)))</f>
        <v>5.3280000000000003</v>
      </c>
      <c r="I491">
        <f ca="1">IF(OR(G491=-999,G491=-888,AND($AA$6="Excluded",G491&gt;=Settings!$G$2)),"",G491)</f>
        <v>5.3280000000000003</v>
      </c>
      <c r="O491" s="46"/>
    </row>
    <row r="492" spans="1:15" x14ac:dyDescent="0.2">
      <c r="A492" s="1">
        <v>487</v>
      </c>
      <c r="B492" t="str">
        <f>IF(ISERROR(MATCH(TRIM('Data Table'!D489),Settings!$G$15:$G$20,0)),TRIM('Data Table'!D489),LOOKUP(TRIM('Data Table'!D489),Settings!$G$15:$G$20,Settings!$H$15:$H$20))</f>
        <v>Rockingham</v>
      </c>
      <c r="C492" t="str">
        <f>IF('Data Table'!F489="","SS",IF('Data Table'!F489="SF","SD",TRIM('Data Table'!F489)))</f>
        <v>SS</v>
      </c>
      <c r="D492" s="106">
        <f ca="1">IF(ISBLANK(OFFSET('Data Table'!$A487,2,Settings!$G$5-1)),"",OFFSET('Data Table'!$A487,2,Settings!$G$5-1))</f>
        <v>125</v>
      </c>
      <c r="E492" s="106" t="str">
        <f ca="1">IF(ISBLANK(OFFSET('Data Table'!$A487,2,Settings!$G$5)),"",OFFSET('Data Table'!$A487,2,Settings!$G$5))</f>
        <v/>
      </c>
      <c r="F492" s="143" t="str">
        <f ca="1">IF(ISBLANK(OFFSET('Data Table'!$A487,2,Settings!$G$5+1)),"",OFFSET('Data Table'!$A487,2,Settings!$G$5+1))</f>
        <v/>
      </c>
      <c r="G492">
        <f t="shared" ca="1" si="7"/>
        <v>125</v>
      </c>
      <c r="H492">
        <f ca="1">IF(G492=-888,"",IF(G492=-999,Settings!$G$4,IF(AND($AA$6="Excluded",G492&gt;=Settings!$G$2),"",G492)))</f>
        <v>125</v>
      </c>
      <c r="I492">
        <f ca="1">IF(OR(G492=-999,G492=-888,AND($AA$6="Excluded",G492&gt;=Settings!$G$2)),"",G492)</f>
        <v>125</v>
      </c>
      <c r="O492" s="46"/>
    </row>
    <row r="493" spans="1:15" x14ac:dyDescent="0.2">
      <c r="A493" s="1">
        <v>488</v>
      </c>
      <c r="B493" t="str">
        <f>IF(ISERROR(MATCH(TRIM('Data Table'!D490),Settings!$G$15:$G$20,0)),TRIM('Data Table'!D490),LOOKUP(TRIM('Data Table'!D490),Settings!$G$15:$G$20,Settings!$H$15:$H$20))</f>
        <v>Wake</v>
      </c>
      <c r="C493" t="str">
        <f>IF('Data Table'!F490="","SS",IF('Data Table'!F490="SF","SD",TRIM('Data Table'!F490)))</f>
        <v>SD</v>
      </c>
      <c r="D493" s="106" t="str">
        <f ca="1">IF(ISBLANK(OFFSET('Data Table'!$A488,2,Settings!$G$5-1)),"",OFFSET('Data Table'!$A488,2,Settings!$G$5-1))</f>
        <v/>
      </c>
      <c r="E493" s="106" t="str">
        <f ca="1">IF(ISBLANK(OFFSET('Data Table'!$A488,2,Settings!$G$5)),"",OFFSET('Data Table'!$A488,2,Settings!$G$5))</f>
        <v/>
      </c>
      <c r="F493" s="143">
        <f ca="1">IF(ISBLANK(OFFSET('Data Table'!$A488,2,Settings!$G$5+1)),"",OFFSET('Data Table'!$A488,2,Settings!$G$5+1))</f>
        <v>18</v>
      </c>
      <c r="G493">
        <f t="shared" ca="1" si="7"/>
        <v>18</v>
      </c>
      <c r="H493">
        <f ca="1">IF(G493=-888,"",IF(G493=-999,Settings!$G$4,IF(AND($AA$6="Excluded",G493&gt;=Settings!$G$2),"",G493)))</f>
        <v>18</v>
      </c>
      <c r="I493">
        <f ca="1">IF(OR(G493=-999,G493=-888,AND($AA$6="Excluded",G493&gt;=Settings!$G$2)),"",G493)</f>
        <v>18</v>
      </c>
      <c r="O493" s="46"/>
    </row>
    <row r="494" spans="1:15" x14ac:dyDescent="0.2">
      <c r="A494" s="1">
        <v>489</v>
      </c>
      <c r="B494" t="str">
        <f>IF(ISERROR(MATCH(TRIM('Data Table'!D491),Settings!$G$15:$G$20,0)),TRIM('Data Table'!D491),LOOKUP(TRIM('Data Table'!D491),Settings!$G$15:$G$20,Settings!$H$15:$H$20))</f>
        <v>Wake</v>
      </c>
      <c r="C494" t="str">
        <f>IF('Data Table'!F491="","SS",IF('Data Table'!F491="SF","SD",TRIM('Data Table'!F491)))</f>
        <v>SB</v>
      </c>
      <c r="D494" s="106" t="str">
        <f ca="1">IF(ISBLANK(OFFSET('Data Table'!$A489,2,Settings!$G$5-1)),"",OFFSET('Data Table'!$A489,2,Settings!$G$5-1))</f>
        <v/>
      </c>
      <c r="E494" s="106" t="str">
        <f ca="1">IF(ISBLANK(OFFSET('Data Table'!$A489,2,Settings!$G$5)),"",OFFSET('Data Table'!$A489,2,Settings!$G$5))</f>
        <v/>
      </c>
      <c r="F494" s="143">
        <f ca="1">IF(ISBLANK(OFFSET('Data Table'!$A489,2,Settings!$G$5+1)),"",OFFSET('Data Table'!$A489,2,Settings!$G$5+1))</f>
        <v>19</v>
      </c>
      <c r="G494">
        <f t="shared" ca="1" si="7"/>
        <v>19</v>
      </c>
      <c r="H494">
        <f ca="1">IF(G494=-888,"",IF(G494=-999,Settings!$G$4,IF(AND($AA$6="Excluded",G494&gt;=Settings!$G$2),"",G494)))</f>
        <v>19</v>
      </c>
      <c r="I494">
        <f ca="1">IF(OR(G494=-999,G494=-888,AND($AA$6="Excluded",G494&gt;=Settings!$G$2)),"",G494)</f>
        <v>19</v>
      </c>
      <c r="O494" s="46"/>
    </row>
    <row r="495" spans="1:15" x14ac:dyDescent="0.2">
      <c r="A495" s="1">
        <v>490</v>
      </c>
      <c r="B495" t="str">
        <f>IF(ISERROR(MATCH(TRIM('Data Table'!D492),Settings!$G$15:$G$20,0)),TRIM('Data Table'!D492),LOOKUP(TRIM('Data Table'!D492),Settings!$G$15:$G$20,Settings!$H$15:$H$20))</f>
        <v>Wake</v>
      </c>
      <c r="C495" t="str">
        <f>IF('Data Table'!F492="","SS",IF('Data Table'!F492="SF","SD",TRIM('Data Table'!F492)))</f>
        <v>SS</v>
      </c>
      <c r="D495" s="106" t="str">
        <f ca="1">IF(ISBLANK(OFFSET('Data Table'!$A490,2,Settings!$G$5-1)),"",OFFSET('Data Table'!$A490,2,Settings!$G$5-1))</f>
        <v/>
      </c>
      <c r="E495" s="106" t="str">
        <f ca="1">IF(ISBLANK(OFFSET('Data Table'!$A490,2,Settings!$G$5)),"",OFFSET('Data Table'!$A490,2,Settings!$G$5))</f>
        <v/>
      </c>
      <c r="F495" s="143">
        <f ca="1">IF(ISBLANK(OFFSET('Data Table'!$A490,2,Settings!$G$5+1)),"",OFFSET('Data Table'!$A490,2,Settings!$G$5+1))</f>
        <v>19</v>
      </c>
      <c r="G495">
        <f t="shared" ca="1" si="7"/>
        <v>19</v>
      </c>
      <c r="H495">
        <f ca="1">IF(G495=-888,"",IF(G495=-999,Settings!$G$4,IF(AND($AA$6="Excluded",G495&gt;=Settings!$G$2),"",G495)))</f>
        <v>19</v>
      </c>
      <c r="I495">
        <f ca="1">IF(OR(G495=-999,G495=-888,AND($AA$6="Excluded",G495&gt;=Settings!$G$2)),"",G495)</f>
        <v>19</v>
      </c>
      <c r="O495" s="46"/>
    </row>
    <row r="496" spans="1:15" x14ac:dyDescent="0.2">
      <c r="A496" s="1">
        <v>491</v>
      </c>
      <c r="B496" t="str">
        <f>IF(ISERROR(MATCH(TRIM('Data Table'!D493),Settings!$G$15:$G$20,0)),TRIM('Data Table'!D493),LOOKUP(TRIM('Data Table'!D493),Settings!$G$15:$G$20,Settings!$H$15:$H$20))</f>
        <v>Wake</v>
      </c>
      <c r="C496" t="str">
        <f>IF('Data Table'!F493="","SS",IF('Data Table'!F493="SF","SD",TRIM('Data Table'!F493)))</f>
        <v>SB</v>
      </c>
      <c r="D496" s="106" t="str">
        <f ca="1">IF(ISBLANK(OFFSET('Data Table'!$A491,2,Settings!$G$5-1)),"",OFFSET('Data Table'!$A491,2,Settings!$G$5-1))</f>
        <v/>
      </c>
      <c r="E496" s="106" t="str">
        <f ca="1">IF(ISBLANK(OFFSET('Data Table'!$A491,2,Settings!$G$5)),"",OFFSET('Data Table'!$A491,2,Settings!$G$5))</f>
        <v/>
      </c>
      <c r="F496" s="143">
        <f ca="1">IF(ISBLANK(OFFSET('Data Table'!$A491,2,Settings!$G$5+1)),"",OFFSET('Data Table'!$A491,2,Settings!$G$5+1))</f>
        <v>17</v>
      </c>
      <c r="G496">
        <f t="shared" ca="1" si="7"/>
        <v>17</v>
      </c>
      <c r="H496">
        <f ca="1">IF(G496=-888,"",IF(G496=-999,Settings!$G$4,IF(AND($AA$6="Excluded",G496&gt;=Settings!$G$2),"",G496)))</f>
        <v>17</v>
      </c>
      <c r="I496">
        <f ca="1">IF(OR(G496=-999,G496=-888,AND($AA$6="Excluded",G496&gt;=Settings!$G$2)),"",G496)</f>
        <v>17</v>
      </c>
      <c r="O496" s="46"/>
    </row>
    <row r="497" spans="1:15" x14ac:dyDescent="0.2">
      <c r="A497" s="1">
        <v>492</v>
      </c>
      <c r="B497" t="str">
        <f>IF(ISERROR(MATCH(TRIM('Data Table'!D494),Settings!$G$15:$G$20,0)),TRIM('Data Table'!D494),LOOKUP(TRIM('Data Table'!D494),Settings!$G$15:$G$20,Settings!$H$15:$H$20))</f>
        <v>Wake</v>
      </c>
      <c r="C497" t="str">
        <f>IF('Data Table'!F494="","SS",IF('Data Table'!F494="SF","SD",TRIM('Data Table'!F494)))</f>
        <v>SB</v>
      </c>
      <c r="D497" s="106">
        <f ca="1">IF(ISBLANK(OFFSET('Data Table'!$A492,2,Settings!$G$5-1)),"",OFFSET('Data Table'!$A492,2,Settings!$G$5-1))</f>
        <v>23</v>
      </c>
      <c r="E497" s="106" t="str">
        <f ca="1">IF(ISBLANK(OFFSET('Data Table'!$A492,2,Settings!$G$5)),"",OFFSET('Data Table'!$A492,2,Settings!$G$5))</f>
        <v/>
      </c>
      <c r="F497" s="143" t="str">
        <f ca="1">IF(ISBLANK(OFFSET('Data Table'!$A492,2,Settings!$G$5+1)),"",OFFSET('Data Table'!$A492,2,Settings!$G$5+1))</f>
        <v/>
      </c>
      <c r="G497">
        <f t="shared" ca="1" si="7"/>
        <v>23</v>
      </c>
      <c r="H497">
        <f ca="1">IF(G497=-888,"",IF(G497=-999,Settings!$G$4,IF(AND($AA$6="Excluded",G497&gt;=Settings!$G$2),"",G497)))</f>
        <v>23</v>
      </c>
      <c r="I497">
        <f ca="1">IF(OR(G497=-999,G497=-888,AND($AA$6="Excluded",G497&gt;=Settings!$G$2)),"",G497)</f>
        <v>23</v>
      </c>
      <c r="O497" s="46"/>
    </row>
    <row r="498" spans="1:15" x14ac:dyDescent="0.2">
      <c r="A498" s="1">
        <v>493</v>
      </c>
      <c r="B498" t="str">
        <f>IF(ISERROR(MATCH(TRIM('Data Table'!D495),Settings!$G$15:$G$20,0)),TRIM('Data Table'!D495),LOOKUP(TRIM('Data Table'!D495),Settings!$G$15:$G$20,Settings!$H$15:$H$20))</f>
        <v>Iredell</v>
      </c>
      <c r="C498" t="str">
        <f>IF('Data Table'!F495="","SS",IF('Data Table'!F495="SF","SD",TRIM('Data Table'!F495)))</f>
        <v>SS</v>
      </c>
      <c r="D498" s="106">
        <f ca="1">IF(ISBLANK(OFFSET('Data Table'!$A493,2,Settings!$G$5-1)),"",OFFSET('Data Table'!$A493,2,Settings!$G$5-1))</f>
        <v>48</v>
      </c>
      <c r="E498" s="106" t="str">
        <f ca="1">IF(ISBLANK(OFFSET('Data Table'!$A493,2,Settings!$G$5)),"",OFFSET('Data Table'!$A493,2,Settings!$G$5))</f>
        <v/>
      </c>
      <c r="F498" s="143" t="str">
        <f ca="1">IF(ISBLANK(OFFSET('Data Table'!$A493,2,Settings!$G$5+1)),"",OFFSET('Data Table'!$A493,2,Settings!$G$5+1))</f>
        <v/>
      </c>
      <c r="G498">
        <f t="shared" ca="1" si="7"/>
        <v>48</v>
      </c>
      <c r="H498">
        <f ca="1">IF(G498=-888,"",IF(G498=-999,Settings!$G$4,IF(AND($AA$6="Excluded",G498&gt;=Settings!$G$2),"",G498)))</f>
        <v>48</v>
      </c>
      <c r="I498">
        <f ca="1">IF(OR(G498=-999,G498=-888,AND($AA$6="Excluded",G498&gt;=Settings!$G$2)),"",G498)</f>
        <v>48</v>
      </c>
      <c r="O498" s="46"/>
    </row>
    <row r="499" spans="1:15" x14ac:dyDescent="0.2">
      <c r="A499" s="1">
        <v>494</v>
      </c>
      <c r="B499" t="str">
        <f>IF(ISERROR(MATCH(TRIM('Data Table'!D496),Settings!$G$15:$G$20,0)),TRIM('Data Table'!D496),LOOKUP(TRIM('Data Table'!D496),Settings!$G$15:$G$20,Settings!$H$15:$H$20))</f>
        <v>Iredell</v>
      </c>
      <c r="C499" t="str">
        <f>IF('Data Table'!F496="","SS",IF('Data Table'!F496="SF","SD",TRIM('Data Table'!F496)))</f>
        <v>SB</v>
      </c>
      <c r="D499" s="106">
        <f ca="1">IF(ISBLANK(OFFSET('Data Table'!$A494,2,Settings!$G$5-1)),"",OFFSET('Data Table'!$A494,2,Settings!$G$5-1))</f>
        <v>35</v>
      </c>
      <c r="E499" s="106" t="str">
        <f ca="1">IF(ISBLANK(OFFSET('Data Table'!$A494,2,Settings!$G$5)),"",OFFSET('Data Table'!$A494,2,Settings!$G$5))</f>
        <v/>
      </c>
      <c r="F499" s="143" t="str">
        <f ca="1">IF(ISBLANK(OFFSET('Data Table'!$A494,2,Settings!$G$5+1)),"",OFFSET('Data Table'!$A494,2,Settings!$G$5+1))</f>
        <v/>
      </c>
      <c r="G499">
        <f t="shared" ca="1" si="7"/>
        <v>35</v>
      </c>
      <c r="H499">
        <f ca="1">IF(G499=-888,"",IF(G499=-999,Settings!$G$4,IF(AND($AA$6="Excluded",G499&gt;=Settings!$G$2),"",G499)))</f>
        <v>35</v>
      </c>
      <c r="I499">
        <f ca="1">IF(OR(G499=-999,G499=-888,AND($AA$6="Excluded",G499&gt;=Settings!$G$2)),"",G499)</f>
        <v>35</v>
      </c>
      <c r="O499" s="46"/>
    </row>
    <row r="500" spans="1:15" x14ac:dyDescent="0.2">
      <c r="A500" s="1">
        <v>495</v>
      </c>
      <c r="B500" t="str">
        <f>IF(ISERROR(MATCH(TRIM('Data Table'!D497),Settings!$G$15:$G$20,0)),TRIM('Data Table'!D497),LOOKUP(TRIM('Data Table'!D497),Settings!$G$15:$G$20,Settings!$H$15:$H$20))</f>
        <v>Graham</v>
      </c>
      <c r="C500" t="str">
        <f>IF('Data Table'!F497="","SS",IF('Data Table'!F497="SF","SD",TRIM('Data Table'!F497)))</f>
        <v>SS</v>
      </c>
      <c r="D500" s="106" t="str">
        <f ca="1">IF(ISBLANK(OFFSET('Data Table'!$A495,2,Settings!$G$5-1)),"",OFFSET('Data Table'!$A495,2,Settings!$G$5-1))</f>
        <v/>
      </c>
      <c r="E500" s="106" t="str">
        <f ca="1">IF(ISBLANK(OFFSET('Data Table'!$A495,2,Settings!$G$5)),"",OFFSET('Data Table'!$A495,2,Settings!$G$5))</f>
        <v/>
      </c>
      <c r="F500" s="143">
        <f ca="1">IF(ISBLANK(OFFSET('Data Table'!$A495,2,Settings!$G$5+1)),"",OFFSET('Data Table'!$A495,2,Settings!$G$5+1))</f>
        <v>20</v>
      </c>
      <c r="G500">
        <f t="shared" ca="1" si="7"/>
        <v>20</v>
      </c>
      <c r="H500">
        <f ca="1">IF(G500=-888,"",IF(G500=-999,Settings!$G$4,IF(AND($AA$6="Excluded",G500&gt;=Settings!$G$2),"",G500)))</f>
        <v>20</v>
      </c>
      <c r="I500">
        <f ca="1">IF(OR(G500=-999,G500=-888,AND($AA$6="Excluded",G500&gt;=Settings!$G$2)),"",G500)</f>
        <v>20</v>
      </c>
      <c r="O500" s="46"/>
    </row>
    <row r="501" spans="1:15" x14ac:dyDescent="0.2">
      <c r="A501" s="1">
        <v>496</v>
      </c>
      <c r="B501" t="str">
        <f>IF(ISERROR(MATCH(TRIM('Data Table'!D498),Settings!$G$15:$G$20,0)),TRIM('Data Table'!D498),LOOKUP(TRIM('Data Table'!D498),Settings!$G$15:$G$20,Settings!$H$15:$H$20))</f>
        <v>Catawba</v>
      </c>
      <c r="C501" t="str">
        <f>IF('Data Table'!F498="","SS",IF('Data Table'!F498="SF","SD",TRIM('Data Table'!F498)))</f>
        <v>SS</v>
      </c>
      <c r="D501" s="106" t="str">
        <f ca="1">IF(ISBLANK(OFFSET('Data Table'!$A496,2,Settings!$G$5-1)),"",OFFSET('Data Table'!$A496,2,Settings!$G$5-1))</f>
        <v/>
      </c>
      <c r="E501" s="106" t="str">
        <f ca="1">IF(ISBLANK(OFFSET('Data Table'!$A496,2,Settings!$G$5)),"",OFFSET('Data Table'!$A496,2,Settings!$G$5))</f>
        <v/>
      </c>
      <c r="F501" s="143">
        <f ca="1">IF(ISBLANK(OFFSET('Data Table'!$A496,2,Settings!$G$5+1)),"",OFFSET('Data Table'!$A496,2,Settings!$G$5+1))</f>
        <v>19</v>
      </c>
      <c r="G501">
        <f t="shared" ca="1" si="7"/>
        <v>19</v>
      </c>
      <c r="H501">
        <f ca="1">IF(G501=-888,"",IF(G501=-999,Settings!$G$4,IF(AND($AA$6="Excluded",G501&gt;=Settings!$G$2),"",G501)))</f>
        <v>19</v>
      </c>
      <c r="I501">
        <f ca="1">IF(OR(G501=-999,G501=-888,AND($AA$6="Excluded",G501&gt;=Settings!$G$2)),"",G501)</f>
        <v>19</v>
      </c>
      <c r="O501" s="46"/>
    </row>
    <row r="502" spans="1:15" x14ac:dyDescent="0.2">
      <c r="A502" s="1">
        <v>497</v>
      </c>
      <c r="B502" t="str">
        <f>IF(ISERROR(MATCH(TRIM('Data Table'!D499),Settings!$G$15:$G$20,0)),TRIM('Data Table'!D499),LOOKUP(TRIM('Data Table'!D499),Settings!$G$15:$G$20,Settings!$H$15:$H$20))</f>
        <v>Bladen</v>
      </c>
      <c r="C502" t="str">
        <f>IF('Data Table'!F499="","SS",IF('Data Table'!F499="SF","SD",TRIM('Data Table'!F499)))</f>
        <v>SB</v>
      </c>
      <c r="D502" s="106">
        <f ca="1">IF(ISBLANK(OFFSET('Data Table'!$A497,2,Settings!$G$5-1)),"",OFFSET('Data Table'!$A497,2,Settings!$G$5-1))</f>
        <v>7.1</v>
      </c>
      <c r="E502" s="106" t="str">
        <f ca="1">IF(ISBLANK(OFFSET('Data Table'!$A497,2,Settings!$G$5)),"",OFFSET('Data Table'!$A497,2,Settings!$G$5))</f>
        <v/>
      </c>
      <c r="F502" s="143" t="str">
        <f ca="1">IF(ISBLANK(OFFSET('Data Table'!$A497,2,Settings!$G$5+1)),"",OFFSET('Data Table'!$A497,2,Settings!$G$5+1))</f>
        <v/>
      </c>
      <c r="G502">
        <f t="shared" ca="1" si="7"/>
        <v>7.1</v>
      </c>
      <c r="H502">
        <f ca="1">IF(G502=-888,"",IF(G502=-999,Settings!$G$4,IF(AND($AA$6="Excluded",G502&gt;=Settings!$G$2),"",G502)))</f>
        <v>7.1</v>
      </c>
      <c r="I502">
        <f ca="1">IF(OR(G502=-999,G502=-888,AND($AA$6="Excluded",G502&gt;=Settings!$G$2)),"",G502)</f>
        <v>7.1</v>
      </c>
      <c r="O502" s="46"/>
    </row>
    <row r="503" spans="1:15" x14ac:dyDescent="0.2">
      <c r="A503" s="1">
        <v>498</v>
      </c>
      <c r="B503" t="str">
        <f>IF(ISERROR(MATCH(TRIM('Data Table'!D500),Settings!$G$15:$G$20,0)),TRIM('Data Table'!D500),LOOKUP(TRIM('Data Table'!D500),Settings!$G$15:$G$20,Settings!$H$15:$H$20))</f>
        <v>Bladen</v>
      </c>
      <c r="C503" t="str">
        <f>IF('Data Table'!F500="","SS",IF('Data Table'!F500="SF","SD",TRIM('Data Table'!F500)))</f>
        <v>SD</v>
      </c>
      <c r="D503" s="106">
        <f ca="1">IF(ISBLANK(OFFSET('Data Table'!$A498,2,Settings!$G$5-1)),"",OFFSET('Data Table'!$A498,2,Settings!$G$5-1))</f>
        <v>7.1</v>
      </c>
      <c r="E503" s="106" t="str">
        <f ca="1">IF(ISBLANK(OFFSET('Data Table'!$A498,2,Settings!$G$5)),"",OFFSET('Data Table'!$A498,2,Settings!$G$5))</f>
        <v/>
      </c>
      <c r="F503" s="143" t="str">
        <f ca="1">IF(ISBLANK(OFFSET('Data Table'!$A498,2,Settings!$G$5+1)),"",OFFSET('Data Table'!$A498,2,Settings!$G$5+1))</f>
        <v/>
      </c>
      <c r="G503">
        <f t="shared" ca="1" si="7"/>
        <v>7.1</v>
      </c>
      <c r="H503">
        <f ca="1">IF(G503=-888,"",IF(G503=-999,Settings!$G$4,IF(AND($AA$6="Excluded",G503&gt;=Settings!$G$2),"",G503)))</f>
        <v>7.1</v>
      </c>
      <c r="I503">
        <f ca="1">IF(OR(G503=-999,G503=-888,AND($AA$6="Excluded",G503&gt;=Settings!$G$2)),"",G503)</f>
        <v>7.1</v>
      </c>
      <c r="O503" s="46"/>
    </row>
    <row r="504" spans="1:15" x14ac:dyDescent="0.2">
      <c r="A504" s="1">
        <v>499</v>
      </c>
      <c r="B504" t="str">
        <f>IF(ISERROR(MATCH(TRIM('Data Table'!D501),Settings!$G$15:$G$20,0)),TRIM('Data Table'!D501),LOOKUP(TRIM('Data Table'!D501),Settings!$G$15:$G$20,Settings!$H$15:$H$20))</f>
        <v>Gaston</v>
      </c>
      <c r="C504" t="str">
        <f>IF('Data Table'!F501="","SS",IF('Data Table'!F501="SF","SD",TRIM('Data Table'!F501)))</f>
        <v>SS</v>
      </c>
      <c r="D504" s="106" t="str">
        <f ca="1">IF(ISBLANK(OFFSET('Data Table'!$A499,2,Settings!$G$5-1)),"",OFFSET('Data Table'!$A499,2,Settings!$G$5-1))</f>
        <v/>
      </c>
      <c r="E504" s="106">
        <f ca="1">IF(ISBLANK(OFFSET('Data Table'!$A499,2,Settings!$G$5)),"",OFFSET('Data Table'!$A499,2,Settings!$G$5))</f>
        <v>24.48</v>
      </c>
      <c r="F504" s="143" t="str">
        <f ca="1">IF(ISBLANK(OFFSET('Data Table'!$A499,2,Settings!$G$5+1)),"",OFFSET('Data Table'!$A499,2,Settings!$G$5+1))</f>
        <v/>
      </c>
      <c r="G504">
        <f t="shared" ca="1" si="7"/>
        <v>24.48</v>
      </c>
      <c r="H504">
        <f ca="1">IF(G504=-888,"",IF(G504=-999,Settings!$G$4,IF(AND($AA$6="Excluded",G504&gt;=Settings!$G$2),"",G504)))</f>
        <v>24.48</v>
      </c>
      <c r="I504">
        <f ca="1">IF(OR(G504=-999,G504=-888,AND($AA$6="Excluded",G504&gt;=Settings!$G$2)),"",G504)</f>
        <v>24.48</v>
      </c>
      <c r="O504" s="46"/>
    </row>
    <row r="505" spans="1:15" x14ac:dyDescent="0.2">
      <c r="A505" s="1">
        <v>500</v>
      </c>
      <c r="B505" t="str">
        <f>IF(ISERROR(MATCH(TRIM('Data Table'!D502),Settings!$G$15:$G$20,0)),TRIM('Data Table'!D502),LOOKUP(TRIM('Data Table'!D502),Settings!$G$15:$G$20,Settings!$H$15:$H$20))</f>
        <v>Craven</v>
      </c>
      <c r="C505" t="str">
        <f>IF('Data Table'!F502="","SS",IF('Data Table'!F502="SF","SD",TRIM('Data Table'!F502)))</f>
        <v>SD</v>
      </c>
      <c r="D505" s="106">
        <f ca="1">IF(ISBLANK(OFFSET('Data Table'!$A500,2,Settings!$G$5-1)),"",OFFSET('Data Table'!$A500,2,Settings!$G$5-1))</f>
        <v>20</v>
      </c>
      <c r="E505" s="106" t="str">
        <f ca="1">IF(ISBLANK(OFFSET('Data Table'!$A500,2,Settings!$G$5)),"",OFFSET('Data Table'!$A500,2,Settings!$G$5))</f>
        <v/>
      </c>
      <c r="F505" s="143" t="str">
        <f ca="1">IF(ISBLANK(OFFSET('Data Table'!$A500,2,Settings!$G$5+1)),"",OFFSET('Data Table'!$A500,2,Settings!$G$5+1))</f>
        <v/>
      </c>
      <c r="G505">
        <f t="shared" ca="1" si="7"/>
        <v>20</v>
      </c>
      <c r="H505">
        <f ca="1">IF(G505=-888,"",IF(G505=-999,Settings!$G$4,IF(AND($AA$6="Excluded",G505&gt;=Settings!$G$2),"",G505)))</f>
        <v>20</v>
      </c>
      <c r="I505">
        <f ca="1">IF(OR(G505=-999,G505=-888,AND($AA$6="Excluded",G505&gt;=Settings!$G$2)),"",G505)</f>
        <v>20</v>
      </c>
      <c r="O505" s="46"/>
    </row>
    <row r="506" spans="1:15" x14ac:dyDescent="0.2">
      <c r="A506" s="1">
        <v>501</v>
      </c>
      <c r="B506" t="str">
        <f>IF(ISERROR(MATCH(TRIM('Data Table'!D503),Settings!$G$15:$G$20,0)),TRIM('Data Table'!D503),LOOKUP(TRIM('Data Table'!D503),Settings!$G$15:$G$20,Settings!$H$15:$H$20))</f>
        <v>Johnston</v>
      </c>
      <c r="C506" t="str">
        <f>IF('Data Table'!F503="","SS",IF('Data Table'!F503="SF","SD",TRIM('Data Table'!F503)))</f>
        <v>SS</v>
      </c>
      <c r="D506" s="106" t="str">
        <f ca="1">IF(ISBLANK(OFFSET('Data Table'!$A501,2,Settings!$G$5-1)),"",OFFSET('Data Table'!$A501,2,Settings!$G$5-1))</f>
        <v/>
      </c>
      <c r="E506" s="106" t="str">
        <f ca="1">IF(ISBLANK(OFFSET('Data Table'!$A501,2,Settings!$G$5)),"",OFFSET('Data Table'!$A501,2,Settings!$G$5))</f>
        <v/>
      </c>
      <c r="F506" s="143">
        <f ca="1">IF(ISBLANK(OFFSET('Data Table'!$A501,2,Settings!$G$5+1)),"",OFFSET('Data Table'!$A501,2,Settings!$G$5+1))</f>
        <v>20</v>
      </c>
      <c r="G506">
        <f t="shared" ca="1" si="7"/>
        <v>20</v>
      </c>
      <c r="H506">
        <f ca="1">IF(G506=-888,"",IF(G506=-999,Settings!$G$4,IF(AND($AA$6="Excluded",G506&gt;=Settings!$G$2),"",G506)))</f>
        <v>20</v>
      </c>
      <c r="I506">
        <f ca="1">IF(OR(G506=-999,G506=-888,AND($AA$6="Excluded",G506&gt;=Settings!$G$2)),"",G506)</f>
        <v>20</v>
      </c>
      <c r="O506" s="46"/>
    </row>
    <row r="507" spans="1:15" x14ac:dyDescent="0.2">
      <c r="A507" s="1">
        <v>502</v>
      </c>
      <c r="B507" t="str">
        <f>IF(ISERROR(MATCH(TRIM('Data Table'!D504),Settings!$G$15:$G$20,0)),TRIM('Data Table'!D504),LOOKUP(TRIM('Data Table'!D504),Settings!$G$15:$G$20,Settings!$H$15:$H$20))</f>
        <v>Guilford</v>
      </c>
      <c r="C507" t="str">
        <f>IF('Data Table'!F504="","SS",IF('Data Table'!F504="SF","SD",TRIM('Data Table'!F504)))</f>
        <v>SS</v>
      </c>
      <c r="D507" s="106">
        <f ca="1">IF(ISBLANK(OFFSET('Data Table'!$A502,2,Settings!$G$5-1)),"",OFFSET('Data Table'!$A502,2,Settings!$G$5-1))</f>
        <v>15</v>
      </c>
      <c r="E507" s="106" t="str">
        <f ca="1">IF(ISBLANK(OFFSET('Data Table'!$A502,2,Settings!$G$5)),"",OFFSET('Data Table'!$A502,2,Settings!$G$5))</f>
        <v/>
      </c>
      <c r="F507" s="143" t="str">
        <f ca="1">IF(ISBLANK(OFFSET('Data Table'!$A502,2,Settings!$G$5+1)),"",OFFSET('Data Table'!$A502,2,Settings!$G$5+1))</f>
        <v/>
      </c>
      <c r="G507">
        <f t="shared" ca="1" si="7"/>
        <v>15</v>
      </c>
      <c r="H507">
        <f ca="1">IF(G507=-888,"",IF(G507=-999,Settings!$G$4,IF(AND($AA$6="Excluded",G507&gt;=Settings!$G$2),"",G507)))</f>
        <v>15</v>
      </c>
      <c r="I507">
        <f ca="1">IF(OR(G507=-999,G507=-888,AND($AA$6="Excluded",G507&gt;=Settings!$G$2)),"",G507)</f>
        <v>15</v>
      </c>
      <c r="O507" s="46"/>
    </row>
    <row r="508" spans="1:15" x14ac:dyDescent="0.2">
      <c r="A508" s="1">
        <v>503</v>
      </c>
      <c r="B508" t="str">
        <f>IF(ISERROR(MATCH(TRIM('Data Table'!D505),Settings!$G$15:$G$20,0)),TRIM('Data Table'!D505),LOOKUP(TRIM('Data Table'!D505),Settings!$G$15:$G$20,Settings!$H$15:$H$20))</f>
        <v>Guilford</v>
      </c>
      <c r="C508" t="str">
        <f>IF('Data Table'!F505="","SS",IF('Data Table'!F505="SF","SD",TRIM('Data Table'!F505)))</f>
        <v>SB</v>
      </c>
      <c r="D508" s="106">
        <f ca="1">IF(ISBLANK(OFFSET('Data Table'!$A503,2,Settings!$G$5-1)),"",OFFSET('Data Table'!$A503,2,Settings!$G$5-1))</f>
        <v>7.3</v>
      </c>
      <c r="E508" s="106" t="str">
        <f ca="1">IF(ISBLANK(OFFSET('Data Table'!$A503,2,Settings!$G$5)),"",OFFSET('Data Table'!$A503,2,Settings!$G$5))</f>
        <v/>
      </c>
      <c r="F508" s="143" t="str">
        <f ca="1">IF(ISBLANK(OFFSET('Data Table'!$A503,2,Settings!$G$5+1)),"",OFFSET('Data Table'!$A503,2,Settings!$G$5+1))</f>
        <v/>
      </c>
      <c r="G508">
        <f t="shared" ca="1" si="7"/>
        <v>7.3</v>
      </c>
      <c r="H508">
        <f ca="1">IF(G508=-888,"",IF(G508=-999,Settings!$G$4,IF(AND($AA$6="Excluded",G508&gt;=Settings!$G$2),"",G508)))</f>
        <v>7.3</v>
      </c>
      <c r="I508">
        <f ca="1">IF(OR(G508=-999,G508=-888,AND($AA$6="Excluded",G508&gt;=Settings!$G$2)),"",G508)</f>
        <v>7.3</v>
      </c>
      <c r="O508" s="46"/>
    </row>
    <row r="509" spans="1:15" x14ac:dyDescent="0.2">
      <c r="A509" s="1">
        <v>504</v>
      </c>
      <c r="B509" t="str">
        <f>IF(ISERROR(MATCH(TRIM('Data Table'!D506),Settings!$G$15:$G$20,0)),TRIM('Data Table'!D506),LOOKUP(TRIM('Data Table'!D506),Settings!$G$15:$G$20,Settings!$H$15:$H$20))</f>
        <v>Guilford</v>
      </c>
      <c r="C509" t="str">
        <f>IF('Data Table'!F506="","SS",IF('Data Table'!F506="SF","SD",TRIM('Data Table'!F506)))</f>
        <v>SD</v>
      </c>
      <c r="D509" s="106">
        <f ca="1">IF(ISBLANK(OFFSET('Data Table'!$A504,2,Settings!$G$5-1)),"",OFFSET('Data Table'!$A504,2,Settings!$G$5-1))</f>
        <v>6.2</v>
      </c>
      <c r="E509" s="106" t="str">
        <f ca="1">IF(ISBLANK(OFFSET('Data Table'!$A504,2,Settings!$G$5)),"",OFFSET('Data Table'!$A504,2,Settings!$G$5))</f>
        <v/>
      </c>
      <c r="F509" s="143" t="str">
        <f ca="1">IF(ISBLANK(OFFSET('Data Table'!$A504,2,Settings!$G$5+1)),"",OFFSET('Data Table'!$A504,2,Settings!$G$5+1))</f>
        <v/>
      </c>
      <c r="G509">
        <f t="shared" ca="1" si="7"/>
        <v>6.2</v>
      </c>
      <c r="H509">
        <f ca="1">IF(G509=-888,"",IF(G509=-999,Settings!$G$4,IF(AND($AA$6="Excluded",G509&gt;=Settings!$G$2),"",G509)))</f>
        <v>6.2</v>
      </c>
      <c r="I509">
        <f ca="1">IF(OR(G509=-999,G509=-888,AND($AA$6="Excluded",G509&gt;=Settings!$G$2)),"",G509)</f>
        <v>6.2</v>
      </c>
      <c r="O509" s="46"/>
    </row>
    <row r="510" spans="1:15" x14ac:dyDescent="0.2">
      <c r="A510" s="1">
        <v>505</v>
      </c>
      <c r="B510" t="str">
        <f>IF(ISERROR(MATCH(TRIM('Data Table'!D507),Settings!$G$15:$G$20,0)),TRIM('Data Table'!D507),LOOKUP(TRIM('Data Table'!D507),Settings!$G$15:$G$20,Settings!$H$15:$H$20))</f>
        <v>Randolph</v>
      </c>
      <c r="C510" t="str">
        <f>IF('Data Table'!F507="","SS",IF('Data Table'!F507="SF","SD",TRIM('Data Table'!F507)))</f>
        <v>SS</v>
      </c>
      <c r="D510" s="106" t="str">
        <f ca="1">IF(ISBLANK(OFFSET('Data Table'!$A505,2,Settings!$G$5-1)),"",OFFSET('Data Table'!$A505,2,Settings!$G$5-1))</f>
        <v/>
      </c>
      <c r="E510" s="106" t="str">
        <f ca="1">IF(ISBLANK(OFFSET('Data Table'!$A505,2,Settings!$G$5)),"",OFFSET('Data Table'!$A505,2,Settings!$G$5))</f>
        <v/>
      </c>
      <c r="F510" s="143">
        <f ca="1">IF(ISBLANK(OFFSET('Data Table'!$A505,2,Settings!$G$5+1)),"",OFFSET('Data Table'!$A505,2,Settings!$G$5+1))</f>
        <v>20</v>
      </c>
      <c r="G510">
        <f t="shared" ca="1" si="7"/>
        <v>20</v>
      </c>
      <c r="H510">
        <f ca="1">IF(G510=-888,"",IF(G510=-999,Settings!$G$4,IF(AND($AA$6="Excluded",G510&gt;=Settings!$G$2),"",G510)))</f>
        <v>20</v>
      </c>
      <c r="I510">
        <f ca="1">IF(OR(G510=-999,G510=-888,AND($AA$6="Excluded",G510&gt;=Settings!$G$2)),"",G510)</f>
        <v>20</v>
      </c>
      <c r="O510" s="46"/>
    </row>
    <row r="511" spans="1:15" x14ac:dyDescent="0.2">
      <c r="A511" s="1">
        <v>506</v>
      </c>
      <c r="B511" t="str">
        <f>IF(ISERROR(MATCH(TRIM('Data Table'!D508),Settings!$G$15:$G$20,0)),TRIM('Data Table'!D508),LOOKUP(TRIM('Data Table'!D508),Settings!$G$15:$G$20,Settings!$H$15:$H$20))</f>
        <v>Mecklenburg</v>
      </c>
      <c r="C511" t="str">
        <f>IF('Data Table'!F508="","SS",IF('Data Table'!F508="SF","SD",TRIM('Data Table'!F508)))</f>
        <v>SS</v>
      </c>
      <c r="D511" s="106">
        <f ca="1">IF(ISBLANK(OFFSET('Data Table'!$A506,2,Settings!$G$5-1)),"",OFFSET('Data Table'!$A506,2,Settings!$G$5-1))</f>
        <v>18</v>
      </c>
      <c r="E511" s="106" t="str">
        <f ca="1">IF(ISBLANK(OFFSET('Data Table'!$A506,2,Settings!$G$5)),"",OFFSET('Data Table'!$A506,2,Settings!$G$5))</f>
        <v/>
      </c>
      <c r="F511" s="143" t="str">
        <f ca="1">IF(ISBLANK(OFFSET('Data Table'!$A506,2,Settings!$G$5+1)),"",OFFSET('Data Table'!$A506,2,Settings!$G$5+1))</f>
        <v/>
      </c>
      <c r="G511">
        <f t="shared" ca="1" si="7"/>
        <v>18</v>
      </c>
      <c r="H511">
        <f ca="1">IF(G511=-888,"",IF(G511=-999,Settings!$G$4,IF(AND($AA$6="Excluded",G511&gt;=Settings!$G$2),"",G511)))</f>
        <v>18</v>
      </c>
      <c r="I511">
        <f ca="1">IF(OR(G511=-999,G511=-888,AND($AA$6="Excluded",G511&gt;=Settings!$G$2)),"",G511)</f>
        <v>18</v>
      </c>
      <c r="O511" s="46"/>
    </row>
    <row r="512" spans="1:15" x14ac:dyDescent="0.2">
      <c r="A512" s="1">
        <v>507</v>
      </c>
      <c r="B512" t="str">
        <f>IF(ISERROR(MATCH(TRIM('Data Table'!D509),Settings!$G$15:$G$20,0)),TRIM('Data Table'!D509),LOOKUP(TRIM('Data Table'!D509),Settings!$G$15:$G$20,Settings!$H$15:$H$20))</f>
        <v>Forsyth</v>
      </c>
      <c r="C512" t="str">
        <f>IF('Data Table'!F509="","SS",IF('Data Table'!F509="SF","SD",TRIM('Data Table'!F509)))</f>
        <v>SS</v>
      </c>
      <c r="D512" s="106">
        <f ca="1">IF(ISBLANK(OFFSET('Data Table'!$A507,2,Settings!$G$5-1)),"",OFFSET('Data Table'!$A507,2,Settings!$G$5-1))</f>
        <v>25</v>
      </c>
      <c r="E512" s="106" t="str">
        <f ca="1">IF(ISBLANK(OFFSET('Data Table'!$A507,2,Settings!$G$5)),"",OFFSET('Data Table'!$A507,2,Settings!$G$5))</f>
        <v/>
      </c>
      <c r="F512" s="143" t="str">
        <f ca="1">IF(ISBLANK(OFFSET('Data Table'!$A507,2,Settings!$G$5+1)),"",OFFSET('Data Table'!$A507,2,Settings!$G$5+1))</f>
        <v/>
      </c>
      <c r="G512">
        <f t="shared" ca="1" si="7"/>
        <v>25</v>
      </c>
      <c r="H512">
        <f ca="1">IF(G512=-888,"",IF(G512=-999,Settings!$G$4,IF(AND($AA$6="Excluded",G512&gt;=Settings!$G$2),"",G512)))</f>
        <v>25</v>
      </c>
      <c r="I512">
        <f ca="1">IF(OR(G512=-999,G512=-888,AND($AA$6="Excluded",G512&gt;=Settings!$G$2)),"",G512)</f>
        <v>25</v>
      </c>
      <c r="O512" s="46"/>
    </row>
    <row r="513" spans="1:15" x14ac:dyDescent="0.2">
      <c r="A513" s="1">
        <v>508</v>
      </c>
      <c r="B513" t="str">
        <f>IF(ISERROR(MATCH(TRIM('Data Table'!D510),Settings!$G$15:$G$20,0)),TRIM('Data Table'!D510),LOOKUP(TRIM('Data Table'!D510),Settings!$G$15:$G$20,Settings!$H$15:$H$20))</f>
        <v>Gaston</v>
      </c>
      <c r="C513" t="str">
        <f>IF('Data Table'!F510="","SS",IF('Data Table'!F510="SF","SD",TRIM('Data Table'!F510)))</f>
        <v>SS</v>
      </c>
      <c r="D513" s="106">
        <f ca="1">IF(ISBLANK(OFFSET('Data Table'!$A508,2,Settings!$G$5-1)),"",OFFSET('Data Table'!$A508,2,Settings!$G$5-1))</f>
        <v>37</v>
      </c>
      <c r="E513" s="106" t="str">
        <f ca="1">IF(ISBLANK(OFFSET('Data Table'!$A508,2,Settings!$G$5)),"",OFFSET('Data Table'!$A508,2,Settings!$G$5))</f>
        <v/>
      </c>
      <c r="F513" s="143" t="str">
        <f ca="1">IF(ISBLANK(OFFSET('Data Table'!$A508,2,Settings!$G$5+1)),"",OFFSET('Data Table'!$A508,2,Settings!$G$5+1))</f>
        <v/>
      </c>
      <c r="G513">
        <f t="shared" ca="1" si="7"/>
        <v>37</v>
      </c>
      <c r="H513">
        <f ca="1">IF(G513=-888,"",IF(G513=-999,Settings!$G$4,IF(AND($AA$6="Excluded",G513&gt;=Settings!$G$2),"",G513)))</f>
        <v>37</v>
      </c>
      <c r="I513">
        <f ca="1">IF(OR(G513=-999,G513=-888,AND($AA$6="Excluded",G513&gt;=Settings!$G$2)),"",G513)</f>
        <v>37</v>
      </c>
      <c r="O513" s="46"/>
    </row>
    <row r="514" spans="1:15" x14ac:dyDescent="0.2">
      <c r="A514" s="1">
        <v>509</v>
      </c>
      <c r="B514" t="str">
        <f>IF(ISERROR(MATCH(TRIM('Data Table'!D511),Settings!$G$15:$G$20,0)),TRIM('Data Table'!D511),LOOKUP(TRIM('Data Table'!D511),Settings!$G$15:$G$20,Settings!$H$15:$H$20))</f>
        <v>Gaston</v>
      </c>
      <c r="C514" t="str">
        <f>IF('Data Table'!F511="","SS",IF('Data Table'!F511="SF","SD",TRIM('Data Table'!F511)))</f>
        <v>SB</v>
      </c>
      <c r="D514" s="106">
        <f ca="1">IF(ISBLANK(OFFSET('Data Table'!$A509,2,Settings!$G$5-1)),"",OFFSET('Data Table'!$A509,2,Settings!$G$5-1))</f>
        <v>37</v>
      </c>
      <c r="E514" s="106" t="str">
        <f ca="1">IF(ISBLANK(OFFSET('Data Table'!$A509,2,Settings!$G$5)),"",OFFSET('Data Table'!$A509,2,Settings!$G$5))</f>
        <v/>
      </c>
      <c r="F514" s="143" t="str">
        <f ca="1">IF(ISBLANK(OFFSET('Data Table'!$A509,2,Settings!$G$5+1)),"",OFFSET('Data Table'!$A509,2,Settings!$G$5+1))</f>
        <v/>
      </c>
      <c r="G514">
        <f t="shared" ca="1" si="7"/>
        <v>37</v>
      </c>
      <c r="H514">
        <f ca="1">IF(G514=-888,"",IF(G514=-999,Settings!$G$4,IF(AND($AA$6="Excluded",G514&gt;=Settings!$G$2),"",G514)))</f>
        <v>37</v>
      </c>
      <c r="I514">
        <f ca="1">IF(OR(G514=-999,G514=-888,AND($AA$6="Excluded",G514&gt;=Settings!$G$2)),"",G514)</f>
        <v>37</v>
      </c>
      <c r="O514" s="46"/>
    </row>
    <row r="515" spans="1:15" x14ac:dyDescent="0.2">
      <c r="A515" s="1">
        <v>510</v>
      </c>
      <c r="B515" t="str">
        <f>IF(ISERROR(MATCH(TRIM('Data Table'!D512),Settings!$G$15:$G$20,0)),TRIM('Data Table'!D512),LOOKUP(TRIM('Data Table'!D512),Settings!$G$15:$G$20,Settings!$H$15:$H$20))</f>
        <v>Durham</v>
      </c>
      <c r="C515" t="str">
        <f>IF('Data Table'!F512="","SS",IF('Data Table'!F512="SF","SD",TRIM('Data Table'!F512)))</f>
        <v>SS</v>
      </c>
      <c r="D515" s="106">
        <f ca="1">IF(ISBLANK(OFFSET('Data Table'!$A510,2,Settings!$G$5-1)),"",OFFSET('Data Table'!$A510,2,Settings!$G$5-1))</f>
        <v>36</v>
      </c>
      <c r="E515" s="106" t="str">
        <f ca="1">IF(ISBLANK(OFFSET('Data Table'!$A510,2,Settings!$G$5)),"",OFFSET('Data Table'!$A510,2,Settings!$G$5))</f>
        <v/>
      </c>
      <c r="F515" s="143" t="str">
        <f ca="1">IF(ISBLANK(OFFSET('Data Table'!$A510,2,Settings!$G$5+1)),"",OFFSET('Data Table'!$A510,2,Settings!$G$5+1))</f>
        <v/>
      </c>
      <c r="G515">
        <f t="shared" ca="1" si="7"/>
        <v>36</v>
      </c>
      <c r="H515">
        <f ca="1">IF(G515=-888,"",IF(G515=-999,Settings!$G$4,IF(AND($AA$6="Excluded",G515&gt;=Settings!$G$2),"",G515)))</f>
        <v>36</v>
      </c>
      <c r="I515">
        <f ca="1">IF(OR(G515=-999,G515=-888,AND($AA$6="Excluded",G515&gt;=Settings!$G$2)),"",G515)</f>
        <v>36</v>
      </c>
      <c r="O515" s="46"/>
    </row>
    <row r="516" spans="1:15" x14ac:dyDescent="0.2">
      <c r="A516" s="1">
        <v>511</v>
      </c>
      <c r="B516" t="str">
        <f>IF(ISERROR(MATCH(TRIM('Data Table'!D513),Settings!$G$15:$G$20,0)),TRIM('Data Table'!D513),LOOKUP(TRIM('Data Table'!D513),Settings!$G$15:$G$20,Settings!$H$15:$H$20))</f>
        <v>Durham</v>
      </c>
      <c r="C516" t="str">
        <f>IF('Data Table'!F513="","SS",IF('Data Table'!F513="SF","SD",TRIM('Data Table'!F513)))</f>
        <v>SB</v>
      </c>
      <c r="D516" s="106" t="str">
        <f ca="1">IF(ISBLANK(OFFSET('Data Table'!$A511,2,Settings!$G$5-1)),"",OFFSET('Data Table'!$A511,2,Settings!$G$5-1))</f>
        <v/>
      </c>
      <c r="E516" s="106" t="str">
        <f ca="1">IF(ISBLANK(OFFSET('Data Table'!$A511,2,Settings!$G$5)),"",OFFSET('Data Table'!$A511,2,Settings!$G$5))</f>
        <v/>
      </c>
      <c r="F516" s="143">
        <f ca="1">IF(ISBLANK(OFFSET('Data Table'!$A511,2,Settings!$G$5+1)),"",OFFSET('Data Table'!$A511,2,Settings!$G$5+1))</f>
        <v>19</v>
      </c>
      <c r="G516">
        <f t="shared" ca="1" si="7"/>
        <v>19</v>
      </c>
      <c r="H516">
        <f ca="1">IF(G516=-888,"",IF(G516=-999,Settings!$G$4,IF(AND($AA$6="Excluded",G516&gt;=Settings!$G$2),"",G516)))</f>
        <v>19</v>
      </c>
      <c r="I516">
        <f ca="1">IF(OR(G516=-999,G516=-888,AND($AA$6="Excluded",G516&gt;=Settings!$G$2)),"",G516)</f>
        <v>19</v>
      </c>
      <c r="O516" s="46"/>
    </row>
    <row r="517" spans="1:15" x14ac:dyDescent="0.2">
      <c r="A517" s="1">
        <v>512</v>
      </c>
      <c r="B517" t="str">
        <f>IF(ISERROR(MATCH(TRIM('Data Table'!D514),Settings!$G$15:$G$20,0)),TRIM('Data Table'!D514),LOOKUP(TRIM('Data Table'!D514),Settings!$G$15:$G$20,Settings!$H$15:$H$20))</f>
        <v>Alamance</v>
      </c>
      <c r="C517" t="str">
        <f>IF('Data Table'!F514="","SS",IF('Data Table'!F514="SF","SD",TRIM('Data Table'!F514)))</f>
        <v>SB</v>
      </c>
      <c r="D517" s="106" t="str">
        <f ca="1">IF(ISBLANK(OFFSET('Data Table'!$A512,2,Settings!$G$5-1)),"",OFFSET('Data Table'!$A512,2,Settings!$G$5-1))</f>
        <v/>
      </c>
      <c r="E517" s="106" t="str">
        <f ca="1">IF(ISBLANK(OFFSET('Data Table'!$A512,2,Settings!$G$5)),"",OFFSET('Data Table'!$A512,2,Settings!$G$5))</f>
        <v/>
      </c>
      <c r="F517" s="143">
        <f ca="1">IF(ISBLANK(OFFSET('Data Table'!$A512,2,Settings!$G$5+1)),"",OFFSET('Data Table'!$A512,2,Settings!$G$5+1))</f>
        <v>19</v>
      </c>
      <c r="G517">
        <f t="shared" ca="1" si="7"/>
        <v>19</v>
      </c>
      <c r="H517">
        <f ca="1">IF(G517=-888,"",IF(G517=-999,Settings!$G$4,IF(AND($AA$6="Excluded",G517&gt;=Settings!$G$2),"",G517)))</f>
        <v>19</v>
      </c>
      <c r="I517">
        <f ca="1">IF(OR(G517=-999,G517=-888,AND($AA$6="Excluded",G517&gt;=Settings!$G$2)),"",G517)</f>
        <v>19</v>
      </c>
      <c r="O517" s="46"/>
    </row>
    <row r="518" spans="1:15" x14ac:dyDescent="0.2">
      <c r="A518" s="1">
        <v>513</v>
      </c>
      <c r="B518" t="str">
        <f>IF(ISERROR(MATCH(TRIM('Data Table'!D515),Settings!$G$15:$G$20,0)),TRIM('Data Table'!D515),LOOKUP(TRIM('Data Table'!D515),Settings!$G$15:$G$20,Settings!$H$15:$H$20))</f>
        <v>McDowell</v>
      </c>
      <c r="C518" t="str">
        <f>IF('Data Table'!F515="","SS",IF('Data Table'!F515="SF","SD",TRIM('Data Table'!F515)))</f>
        <v>SS</v>
      </c>
      <c r="D518" s="106">
        <f ca="1">IF(ISBLANK(OFFSET('Data Table'!$A513,2,Settings!$G$5-1)),"",OFFSET('Data Table'!$A513,2,Settings!$G$5-1))</f>
        <v>20</v>
      </c>
      <c r="E518" s="106" t="str">
        <f ca="1">IF(ISBLANK(OFFSET('Data Table'!$A513,2,Settings!$G$5)),"",OFFSET('Data Table'!$A513,2,Settings!$G$5))</f>
        <v/>
      </c>
      <c r="F518" s="143" t="str">
        <f ca="1">IF(ISBLANK(OFFSET('Data Table'!$A513,2,Settings!$G$5+1)),"",OFFSET('Data Table'!$A513,2,Settings!$G$5+1))</f>
        <v/>
      </c>
      <c r="G518">
        <f t="shared" ref="G518:G581" ca="1" si="8">IF(COUNTIF(SOIL_DEPTH,C518)=0,"",IF(OR(D518="#",E518="#",F518="#"),-999,IF(AND(D518="",E518="",F518=""),-888,IF(COUNT(D518:F518)&gt;1,"ERROR",MAX(D518:F518)))))</f>
        <v>20</v>
      </c>
      <c r="H518">
        <f ca="1">IF(G518=-888,"",IF(G518=-999,Settings!$G$4,IF(AND($AA$6="Excluded",G518&gt;=Settings!$G$2),"",G518)))</f>
        <v>20</v>
      </c>
      <c r="I518">
        <f ca="1">IF(OR(G518=-999,G518=-888,AND($AA$6="Excluded",G518&gt;=Settings!$G$2)),"",G518)</f>
        <v>20</v>
      </c>
      <c r="O518" s="46"/>
    </row>
    <row r="519" spans="1:15" x14ac:dyDescent="0.2">
      <c r="A519" s="1">
        <v>514</v>
      </c>
      <c r="B519" t="str">
        <f>IF(ISERROR(MATCH(TRIM('Data Table'!D516),Settings!$G$15:$G$20,0)),TRIM('Data Table'!D516),LOOKUP(TRIM('Data Table'!D516),Settings!$G$15:$G$20,Settings!$H$15:$H$20))</f>
        <v>Durham</v>
      </c>
      <c r="C519" t="str">
        <f>IF('Data Table'!F516="","SS",IF('Data Table'!F516="SF","SD",TRIM('Data Table'!F516)))</f>
        <v>SS</v>
      </c>
      <c r="D519" s="106">
        <f ca="1">IF(ISBLANK(OFFSET('Data Table'!$A514,2,Settings!$G$5-1)),"",OFFSET('Data Table'!$A514,2,Settings!$G$5-1))</f>
        <v>36</v>
      </c>
      <c r="E519" s="106" t="str">
        <f ca="1">IF(ISBLANK(OFFSET('Data Table'!$A514,2,Settings!$G$5)),"",OFFSET('Data Table'!$A514,2,Settings!$G$5))</f>
        <v/>
      </c>
      <c r="F519" s="143" t="str">
        <f ca="1">IF(ISBLANK(OFFSET('Data Table'!$A514,2,Settings!$G$5+1)),"",OFFSET('Data Table'!$A514,2,Settings!$G$5+1))</f>
        <v/>
      </c>
      <c r="G519">
        <f t="shared" ca="1" si="8"/>
        <v>36</v>
      </c>
      <c r="H519">
        <f ca="1">IF(G519=-888,"",IF(G519=-999,Settings!$G$4,IF(AND($AA$6="Excluded",G519&gt;=Settings!$G$2),"",G519)))</f>
        <v>36</v>
      </c>
      <c r="I519">
        <f ca="1">IF(OR(G519=-999,G519=-888,AND($AA$6="Excluded",G519&gt;=Settings!$G$2)),"",G519)</f>
        <v>36</v>
      </c>
      <c r="O519" s="46"/>
    </row>
    <row r="520" spans="1:15" x14ac:dyDescent="0.2">
      <c r="A520" s="1">
        <v>515</v>
      </c>
      <c r="B520" t="str">
        <f>IF(ISERROR(MATCH(TRIM('Data Table'!D517),Settings!$G$15:$G$20,0)),TRIM('Data Table'!D517),LOOKUP(TRIM('Data Table'!D517),Settings!$G$15:$G$20,Settings!$H$15:$H$20))</f>
        <v>Wayne</v>
      </c>
      <c r="C520" t="str">
        <f>IF('Data Table'!F517="","SS",IF('Data Table'!F517="SF","SD",TRIM('Data Table'!F517)))</f>
        <v>SS</v>
      </c>
      <c r="D520" s="106">
        <f ca="1">IF(ISBLANK(OFFSET('Data Table'!$A515,2,Settings!$G$5-1)),"",OFFSET('Data Table'!$A515,2,Settings!$G$5-1))</f>
        <v>10</v>
      </c>
      <c r="E520" s="106" t="str">
        <f ca="1">IF(ISBLANK(OFFSET('Data Table'!$A515,2,Settings!$G$5)),"",OFFSET('Data Table'!$A515,2,Settings!$G$5))</f>
        <v/>
      </c>
      <c r="F520" s="143" t="str">
        <f ca="1">IF(ISBLANK(OFFSET('Data Table'!$A515,2,Settings!$G$5+1)),"",OFFSET('Data Table'!$A515,2,Settings!$G$5+1))</f>
        <v/>
      </c>
      <c r="G520">
        <f t="shared" ca="1" si="8"/>
        <v>10</v>
      </c>
      <c r="H520">
        <f ca="1">IF(G520=-888,"",IF(G520=-999,Settings!$G$4,IF(AND($AA$6="Excluded",G520&gt;=Settings!$G$2),"",G520)))</f>
        <v>10</v>
      </c>
      <c r="I520">
        <f ca="1">IF(OR(G520=-999,G520=-888,AND($AA$6="Excluded",G520&gt;=Settings!$G$2)),"",G520)</f>
        <v>10</v>
      </c>
      <c r="O520" s="46"/>
    </row>
    <row r="521" spans="1:15" x14ac:dyDescent="0.2">
      <c r="A521" s="1">
        <v>516</v>
      </c>
      <c r="B521" t="str">
        <f>IF(ISERROR(MATCH(TRIM('Data Table'!D518),Settings!$G$15:$G$20,0)),TRIM('Data Table'!D518),LOOKUP(TRIM('Data Table'!D518),Settings!$G$15:$G$20,Settings!$H$15:$H$20))</f>
        <v>Cumberland</v>
      </c>
      <c r="C521" t="str">
        <f>IF('Data Table'!F518="","SS",IF('Data Table'!F518="SF","SD",TRIM('Data Table'!F518)))</f>
        <v>SS</v>
      </c>
      <c r="D521" s="106" t="str">
        <f ca="1">IF(ISBLANK(OFFSET('Data Table'!$A516,2,Settings!$G$5-1)),"",OFFSET('Data Table'!$A516,2,Settings!$G$5-1))</f>
        <v>#</v>
      </c>
      <c r="E521" s="106" t="str">
        <f ca="1">IF(ISBLANK(OFFSET('Data Table'!$A516,2,Settings!$G$5)),"",OFFSET('Data Table'!$A516,2,Settings!$G$5))</f>
        <v/>
      </c>
      <c r="F521" s="143" t="str">
        <f ca="1">IF(ISBLANK(OFFSET('Data Table'!$A516,2,Settings!$G$5+1)),"",OFFSET('Data Table'!$A516,2,Settings!$G$5+1))</f>
        <v/>
      </c>
      <c r="G521">
        <f t="shared" ca="1" si="8"/>
        <v>-999</v>
      </c>
      <c r="H521">
        <f ca="1">IF(G521=-888,"",IF(G521=-999,Settings!$G$4,IF(AND($AA$6="Excluded",G521&gt;=Settings!$G$2),"",G521)))</f>
        <v>5.0000000000000001E-3</v>
      </c>
      <c r="I521" t="str">
        <f ca="1">IF(OR(G521=-999,G521=-888,AND($AA$6="Excluded",G521&gt;=Settings!$G$2)),"",G521)</f>
        <v/>
      </c>
      <c r="O521" s="46"/>
    </row>
    <row r="522" spans="1:15" x14ac:dyDescent="0.2">
      <c r="A522" s="1">
        <v>517</v>
      </c>
      <c r="B522" t="str">
        <f>IF(ISERROR(MATCH(TRIM('Data Table'!D519),Settings!$G$15:$G$20,0)),TRIM('Data Table'!D519),LOOKUP(TRIM('Data Table'!D519),Settings!$G$15:$G$20,Settings!$H$15:$H$20))</f>
        <v>Cumberland</v>
      </c>
      <c r="C522" t="str">
        <f>IF('Data Table'!F519="","SS",IF('Data Table'!F519="SF","SD",TRIM('Data Table'!F519)))</f>
        <v>SS</v>
      </c>
      <c r="D522" s="106" t="str">
        <f ca="1">IF(ISBLANK(OFFSET('Data Table'!$A517,2,Settings!$G$5-1)),"",OFFSET('Data Table'!$A517,2,Settings!$G$5-1))</f>
        <v/>
      </c>
      <c r="E522" s="106">
        <f ca="1">IF(ISBLANK(OFFSET('Data Table'!$A517,2,Settings!$G$5)),"",OFFSET('Data Table'!$A517,2,Settings!$G$5))</f>
        <v>100.8</v>
      </c>
      <c r="F522" s="143" t="str">
        <f ca="1">IF(ISBLANK(OFFSET('Data Table'!$A517,2,Settings!$G$5+1)),"",OFFSET('Data Table'!$A517,2,Settings!$G$5+1))</f>
        <v/>
      </c>
      <c r="G522">
        <f t="shared" ca="1" si="8"/>
        <v>100.8</v>
      </c>
      <c r="H522">
        <f ca="1">IF(G522=-888,"",IF(G522=-999,Settings!$G$4,IF(AND($AA$6="Excluded",G522&gt;=Settings!$G$2),"",G522)))</f>
        <v>100.8</v>
      </c>
      <c r="I522">
        <f ca="1">IF(OR(G522=-999,G522=-888,AND($AA$6="Excluded",G522&gt;=Settings!$G$2)),"",G522)</f>
        <v>100.8</v>
      </c>
      <c r="O522" s="46"/>
    </row>
    <row r="523" spans="1:15" x14ac:dyDescent="0.2">
      <c r="A523" s="1">
        <v>518</v>
      </c>
      <c r="B523" t="str">
        <f>IF(ISERROR(MATCH(TRIM('Data Table'!D520),Settings!$G$15:$G$20,0)),TRIM('Data Table'!D520),LOOKUP(TRIM('Data Table'!D520),Settings!$G$15:$G$20,Settings!$H$15:$H$20))</f>
        <v>Cumberland</v>
      </c>
      <c r="C523" t="str">
        <f>IF('Data Table'!F520="","SS",IF('Data Table'!F520="SF","SD",TRIM('Data Table'!F520)))</f>
        <v>SS</v>
      </c>
      <c r="D523" s="106">
        <f ca="1">IF(ISBLANK(OFFSET('Data Table'!$A518,2,Settings!$G$5-1)),"",OFFSET('Data Table'!$A518,2,Settings!$G$5-1))</f>
        <v>3.6</v>
      </c>
      <c r="E523" s="106" t="str">
        <f ca="1">IF(ISBLANK(OFFSET('Data Table'!$A518,2,Settings!$G$5)),"",OFFSET('Data Table'!$A518,2,Settings!$G$5))</f>
        <v/>
      </c>
      <c r="F523" s="143" t="str">
        <f ca="1">IF(ISBLANK(OFFSET('Data Table'!$A518,2,Settings!$G$5+1)),"",OFFSET('Data Table'!$A518,2,Settings!$G$5+1))</f>
        <v/>
      </c>
      <c r="G523">
        <f t="shared" ca="1" si="8"/>
        <v>3.6</v>
      </c>
      <c r="H523">
        <f ca="1">IF(G523=-888,"",IF(G523=-999,Settings!$G$4,IF(AND($AA$6="Excluded",G523&gt;=Settings!$G$2),"",G523)))</f>
        <v>3.6</v>
      </c>
      <c r="I523">
        <f ca="1">IF(OR(G523=-999,G523=-888,AND($AA$6="Excluded",G523&gt;=Settings!$G$2)),"",G523)</f>
        <v>3.6</v>
      </c>
      <c r="O523" s="46"/>
    </row>
    <row r="524" spans="1:15" x14ac:dyDescent="0.2">
      <c r="A524" s="1">
        <v>519</v>
      </c>
      <c r="B524" t="str">
        <f>IF(ISERROR(MATCH(TRIM('Data Table'!D521),Settings!$G$15:$G$20,0)),TRIM('Data Table'!D521),LOOKUP(TRIM('Data Table'!D521),Settings!$G$15:$G$20,Settings!$H$15:$H$20))</f>
        <v>Cumberland</v>
      </c>
      <c r="C524" t="str">
        <f>IF('Data Table'!F521="","SS",IF('Data Table'!F521="SF","SD",TRIM('Data Table'!F521)))</f>
        <v>SB</v>
      </c>
      <c r="D524" s="106" t="str">
        <f ca="1">IF(ISBLANK(OFFSET('Data Table'!$A519,2,Settings!$G$5-1)),"",OFFSET('Data Table'!$A519,2,Settings!$G$5-1))</f>
        <v/>
      </c>
      <c r="E524" s="106">
        <f ca="1">IF(ISBLANK(OFFSET('Data Table'!$A519,2,Settings!$G$5)),"",OFFSET('Data Table'!$A519,2,Settings!$G$5))</f>
        <v>10.799999999999999</v>
      </c>
      <c r="F524" s="143" t="str">
        <f ca="1">IF(ISBLANK(OFFSET('Data Table'!$A519,2,Settings!$G$5+1)),"",OFFSET('Data Table'!$A519,2,Settings!$G$5+1))</f>
        <v/>
      </c>
      <c r="G524">
        <f t="shared" ca="1" si="8"/>
        <v>10.799999999999999</v>
      </c>
      <c r="H524">
        <f ca="1">IF(G524=-888,"",IF(G524=-999,Settings!$G$4,IF(AND($AA$6="Excluded",G524&gt;=Settings!$G$2),"",G524)))</f>
        <v>10.799999999999999</v>
      </c>
      <c r="I524">
        <f ca="1">IF(OR(G524=-999,G524=-888,AND($AA$6="Excluded",G524&gt;=Settings!$G$2)),"",G524)</f>
        <v>10.799999999999999</v>
      </c>
      <c r="O524" s="46"/>
    </row>
    <row r="525" spans="1:15" x14ac:dyDescent="0.2">
      <c r="A525" s="1">
        <v>520</v>
      </c>
      <c r="B525" t="str">
        <f>IF(ISERROR(MATCH(TRIM('Data Table'!D522),Settings!$G$15:$G$20,0)),TRIM('Data Table'!D522),LOOKUP(TRIM('Data Table'!D522),Settings!$G$15:$G$20,Settings!$H$15:$H$20))</f>
        <v>Cumberland</v>
      </c>
      <c r="C525" t="str">
        <f>IF('Data Table'!F522="","SS",IF('Data Table'!F522="SF","SD",TRIM('Data Table'!F522)))</f>
        <v>SB</v>
      </c>
      <c r="D525" s="106">
        <f ca="1">IF(ISBLANK(OFFSET('Data Table'!$A520,2,Settings!$G$5-1)),"",OFFSET('Data Table'!$A520,2,Settings!$G$5-1))</f>
        <v>2.5</v>
      </c>
      <c r="E525" s="106" t="str">
        <f ca="1">IF(ISBLANK(OFFSET('Data Table'!$A520,2,Settings!$G$5)),"",OFFSET('Data Table'!$A520,2,Settings!$G$5))</f>
        <v/>
      </c>
      <c r="F525" s="143" t="str">
        <f ca="1">IF(ISBLANK(OFFSET('Data Table'!$A520,2,Settings!$G$5+1)),"",OFFSET('Data Table'!$A520,2,Settings!$G$5+1))</f>
        <v/>
      </c>
      <c r="G525">
        <f t="shared" ca="1" si="8"/>
        <v>2.5</v>
      </c>
      <c r="H525">
        <f ca="1">IF(G525=-888,"",IF(G525=-999,Settings!$G$4,IF(AND($AA$6="Excluded",G525&gt;=Settings!$G$2),"",G525)))</f>
        <v>2.5</v>
      </c>
      <c r="I525">
        <f ca="1">IF(OR(G525=-999,G525=-888,AND($AA$6="Excluded",G525&gt;=Settings!$G$2)),"",G525)</f>
        <v>2.5</v>
      </c>
      <c r="O525" s="46"/>
    </row>
    <row r="526" spans="1:15" x14ac:dyDescent="0.2">
      <c r="A526" s="1">
        <v>521</v>
      </c>
      <c r="B526" t="str">
        <f>IF(ISERROR(MATCH(TRIM('Data Table'!D523),Settings!$G$15:$G$20,0)),TRIM('Data Table'!D523),LOOKUP(TRIM('Data Table'!D523),Settings!$G$15:$G$20,Settings!$H$15:$H$20))</f>
        <v>Cumberland</v>
      </c>
      <c r="C526" t="str">
        <f>IF('Data Table'!F523="","SS",IF('Data Table'!F523="SF","SD",TRIM('Data Table'!F523)))</f>
        <v>SB</v>
      </c>
      <c r="D526" s="106">
        <f ca="1">IF(ISBLANK(OFFSET('Data Table'!$A521,2,Settings!$G$5-1)),"",OFFSET('Data Table'!$A521,2,Settings!$G$5-1))</f>
        <v>1.7</v>
      </c>
      <c r="E526" s="106" t="str">
        <f ca="1">IF(ISBLANK(OFFSET('Data Table'!$A521,2,Settings!$G$5)),"",OFFSET('Data Table'!$A521,2,Settings!$G$5))</f>
        <v/>
      </c>
      <c r="F526" s="143" t="str">
        <f ca="1">IF(ISBLANK(OFFSET('Data Table'!$A521,2,Settings!$G$5+1)),"",OFFSET('Data Table'!$A521,2,Settings!$G$5+1))</f>
        <v/>
      </c>
      <c r="G526">
        <f t="shared" ca="1" si="8"/>
        <v>1.7</v>
      </c>
      <c r="H526">
        <f ca="1">IF(G526=-888,"",IF(G526=-999,Settings!$G$4,IF(AND($AA$6="Excluded",G526&gt;=Settings!$G$2),"",G526)))</f>
        <v>1.7</v>
      </c>
      <c r="I526">
        <f ca="1">IF(OR(G526=-999,G526=-888,AND($AA$6="Excluded",G526&gt;=Settings!$G$2)),"",G526)</f>
        <v>1.7</v>
      </c>
      <c r="O526" s="46"/>
    </row>
    <row r="527" spans="1:15" x14ac:dyDescent="0.2">
      <c r="A527" s="1">
        <v>522</v>
      </c>
      <c r="B527" t="str">
        <f>IF(ISERROR(MATCH(TRIM('Data Table'!D524),Settings!$G$15:$G$20,0)),TRIM('Data Table'!D524),LOOKUP(TRIM('Data Table'!D524),Settings!$G$15:$G$20,Settings!$H$15:$H$20))</f>
        <v>Cumberland</v>
      </c>
      <c r="C527" t="str">
        <f>IF('Data Table'!F524="","SS",IF('Data Table'!F524="SF","SD",TRIM('Data Table'!F524)))</f>
        <v>SB</v>
      </c>
      <c r="D527" s="106">
        <f ca="1">IF(ISBLANK(OFFSET('Data Table'!$A522,2,Settings!$G$5-1)),"",OFFSET('Data Table'!$A522,2,Settings!$G$5-1))</f>
        <v>7.7</v>
      </c>
      <c r="E527" s="106" t="str">
        <f ca="1">IF(ISBLANK(OFFSET('Data Table'!$A522,2,Settings!$G$5)),"",OFFSET('Data Table'!$A522,2,Settings!$G$5))</f>
        <v/>
      </c>
      <c r="F527" s="143" t="str">
        <f ca="1">IF(ISBLANK(OFFSET('Data Table'!$A522,2,Settings!$G$5+1)),"",OFFSET('Data Table'!$A522,2,Settings!$G$5+1))</f>
        <v/>
      </c>
      <c r="G527">
        <f t="shared" ca="1" si="8"/>
        <v>7.7</v>
      </c>
      <c r="H527">
        <f ca="1">IF(G527=-888,"",IF(G527=-999,Settings!$G$4,IF(AND($AA$6="Excluded",G527&gt;=Settings!$G$2),"",G527)))</f>
        <v>7.7</v>
      </c>
      <c r="I527">
        <f ca="1">IF(OR(G527=-999,G527=-888,AND($AA$6="Excluded",G527&gt;=Settings!$G$2)),"",G527)</f>
        <v>7.7</v>
      </c>
      <c r="O527" s="46"/>
    </row>
    <row r="528" spans="1:15" x14ac:dyDescent="0.2">
      <c r="A528" s="1">
        <v>523</v>
      </c>
      <c r="B528" t="str">
        <f>IF(ISERROR(MATCH(TRIM('Data Table'!D525),Settings!$G$15:$G$20,0)),TRIM('Data Table'!D525),LOOKUP(TRIM('Data Table'!D525),Settings!$G$15:$G$20,Settings!$H$15:$H$20))</f>
        <v>Cumberland</v>
      </c>
      <c r="C528" t="str">
        <f>IF('Data Table'!F525="","SS",IF('Data Table'!F525="SF","SD",TRIM('Data Table'!F525)))</f>
        <v>SB</v>
      </c>
      <c r="D528" s="106">
        <f ca="1">IF(ISBLANK(OFFSET('Data Table'!$A523,2,Settings!$G$5-1)),"",OFFSET('Data Table'!$A523,2,Settings!$G$5-1))</f>
        <v>2.4</v>
      </c>
      <c r="E528" s="106" t="str">
        <f ca="1">IF(ISBLANK(OFFSET('Data Table'!$A523,2,Settings!$G$5)),"",OFFSET('Data Table'!$A523,2,Settings!$G$5))</f>
        <v/>
      </c>
      <c r="F528" s="143" t="str">
        <f ca="1">IF(ISBLANK(OFFSET('Data Table'!$A523,2,Settings!$G$5+1)),"",OFFSET('Data Table'!$A523,2,Settings!$G$5+1))</f>
        <v/>
      </c>
      <c r="G528">
        <f t="shared" ca="1" si="8"/>
        <v>2.4</v>
      </c>
      <c r="H528">
        <f ca="1">IF(G528=-888,"",IF(G528=-999,Settings!$G$4,IF(AND($AA$6="Excluded",G528&gt;=Settings!$G$2),"",G528)))</f>
        <v>2.4</v>
      </c>
      <c r="I528">
        <f ca="1">IF(OR(G528=-999,G528=-888,AND($AA$6="Excluded",G528&gt;=Settings!$G$2)),"",G528)</f>
        <v>2.4</v>
      </c>
      <c r="O528" s="46"/>
    </row>
    <row r="529" spans="1:15" x14ac:dyDescent="0.2">
      <c r="A529" s="1">
        <v>524</v>
      </c>
      <c r="B529" t="str">
        <f>IF(ISERROR(MATCH(TRIM('Data Table'!D526),Settings!$G$15:$G$20,0)),TRIM('Data Table'!D526),LOOKUP(TRIM('Data Table'!D526),Settings!$G$15:$G$20,Settings!$H$15:$H$20))</f>
        <v>Cumberland</v>
      </c>
      <c r="C529" t="str">
        <f>IF('Data Table'!F526="","SS",IF('Data Table'!F526="SF","SD",TRIM('Data Table'!F526)))</f>
        <v>SB</v>
      </c>
      <c r="D529" s="106">
        <f ca="1">IF(ISBLANK(OFFSET('Data Table'!$A524,2,Settings!$G$5-1)),"",OFFSET('Data Table'!$A524,2,Settings!$G$5-1))</f>
        <v>1.7</v>
      </c>
      <c r="E529" s="106" t="str">
        <f ca="1">IF(ISBLANK(OFFSET('Data Table'!$A524,2,Settings!$G$5)),"",OFFSET('Data Table'!$A524,2,Settings!$G$5))</f>
        <v/>
      </c>
      <c r="F529" s="143" t="str">
        <f ca="1">IF(ISBLANK(OFFSET('Data Table'!$A524,2,Settings!$G$5+1)),"",OFFSET('Data Table'!$A524,2,Settings!$G$5+1))</f>
        <v/>
      </c>
      <c r="G529">
        <f t="shared" ca="1" si="8"/>
        <v>1.7</v>
      </c>
      <c r="H529">
        <f ca="1">IF(G529=-888,"",IF(G529=-999,Settings!$G$4,IF(AND($AA$6="Excluded",G529&gt;=Settings!$G$2),"",G529)))</f>
        <v>1.7</v>
      </c>
      <c r="I529">
        <f ca="1">IF(OR(G529=-999,G529=-888,AND($AA$6="Excluded",G529&gt;=Settings!$G$2)),"",G529)</f>
        <v>1.7</v>
      </c>
      <c r="O529" s="46"/>
    </row>
    <row r="530" spans="1:15" x14ac:dyDescent="0.2">
      <c r="A530" s="1">
        <v>525</v>
      </c>
      <c r="B530" t="str">
        <f>IF(ISERROR(MATCH(TRIM('Data Table'!D527),Settings!$G$15:$G$20,0)),TRIM('Data Table'!D527),LOOKUP(TRIM('Data Table'!D527),Settings!$G$15:$G$20,Settings!$H$15:$H$20))</f>
        <v>Cumberland</v>
      </c>
      <c r="C530" t="str">
        <f>IF('Data Table'!F527="","SS",IF('Data Table'!F527="SF","SD",TRIM('Data Table'!F527)))</f>
        <v>SD</v>
      </c>
      <c r="D530" s="106" t="str">
        <f ca="1">IF(ISBLANK(OFFSET('Data Table'!$A525,2,Settings!$G$5-1)),"",OFFSET('Data Table'!$A525,2,Settings!$G$5-1))</f>
        <v>#</v>
      </c>
      <c r="E530" s="106" t="str">
        <f ca="1">IF(ISBLANK(OFFSET('Data Table'!$A525,2,Settings!$G$5)),"",OFFSET('Data Table'!$A525,2,Settings!$G$5))</f>
        <v/>
      </c>
      <c r="F530" s="143" t="str">
        <f ca="1">IF(ISBLANK(OFFSET('Data Table'!$A525,2,Settings!$G$5+1)),"",OFFSET('Data Table'!$A525,2,Settings!$G$5+1))</f>
        <v/>
      </c>
      <c r="G530">
        <f t="shared" ca="1" si="8"/>
        <v>-999</v>
      </c>
      <c r="H530">
        <f ca="1">IF(G530=-888,"",IF(G530=-999,Settings!$G$4,IF(AND($AA$6="Excluded",G530&gt;=Settings!$G$2),"",G530)))</f>
        <v>5.0000000000000001E-3</v>
      </c>
      <c r="I530" t="str">
        <f ca="1">IF(OR(G530=-999,G530=-888,AND($AA$6="Excluded",G530&gt;=Settings!$G$2)),"",G530)</f>
        <v/>
      </c>
      <c r="O530" s="46"/>
    </row>
    <row r="531" spans="1:15" x14ac:dyDescent="0.2">
      <c r="A531" s="1">
        <v>526</v>
      </c>
      <c r="B531" t="str">
        <f>IF(ISERROR(MATCH(TRIM('Data Table'!D528),Settings!$G$15:$G$20,0)),TRIM('Data Table'!D528),LOOKUP(TRIM('Data Table'!D528),Settings!$G$15:$G$20,Settings!$H$15:$H$20))</f>
        <v>Wake</v>
      </c>
      <c r="C531" t="str">
        <f>IF('Data Table'!F528="","SS",IF('Data Table'!F528="SF","SD",TRIM('Data Table'!F528)))</f>
        <v>SS</v>
      </c>
      <c r="D531" s="106">
        <f ca="1">IF(ISBLANK(OFFSET('Data Table'!$A526,2,Settings!$G$5-1)),"",OFFSET('Data Table'!$A526,2,Settings!$G$5-1))</f>
        <v>10</v>
      </c>
      <c r="E531" s="106" t="str">
        <f ca="1">IF(ISBLANK(OFFSET('Data Table'!$A526,2,Settings!$G$5)),"",OFFSET('Data Table'!$A526,2,Settings!$G$5))</f>
        <v/>
      </c>
      <c r="F531" s="143" t="str">
        <f ca="1">IF(ISBLANK(OFFSET('Data Table'!$A526,2,Settings!$G$5+1)),"",OFFSET('Data Table'!$A526,2,Settings!$G$5+1))</f>
        <v/>
      </c>
      <c r="G531">
        <f t="shared" ca="1" si="8"/>
        <v>10</v>
      </c>
      <c r="H531">
        <f ca="1">IF(G531=-888,"",IF(G531=-999,Settings!$G$4,IF(AND($AA$6="Excluded",G531&gt;=Settings!$G$2),"",G531)))</f>
        <v>10</v>
      </c>
      <c r="I531">
        <f ca="1">IF(OR(G531=-999,G531=-888,AND($AA$6="Excluded",G531&gt;=Settings!$G$2)),"",G531)</f>
        <v>10</v>
      </c>
      <c r="O531" s="46"/>
    </row>
    <row r="532" spans="1:15" x14ac:dyDescent="0.2">
      <c r="A532" s="1">
        <v>527</v>
      </c>
      <c r="B532" t="str">
        <f>IF(ISERROR(MATCH(TRIM('Data Table'!D529),Settings!$G$15:$G$20,0)),TRIM('Data Table'!D529),LOOKUP(TRIM('Data Table'!D529),Settings!$G$15:$G$20,Settings!$H$15:$H$20))</f>
        <v>Wake</v>
      </c>
      <c r="C532" t="str">
        <f>IF('Data Table'!F529="","SS",IF('Data Table'!F529="SF","SD",TRIM('Data Table'!F529)))</f>
        <v>SD</v>
      </c>
      <c r="D532" s="106">
        <f ca="1">IF(ISBLANK(OFFSET('Data Table'!$A527,2,Settings!$G$5-1)),"",OFFSET('Data Table'!$A527,2,Settings!$G$5-1))</f>
        <v>8</v>
      </c>
      <c r="E532" s="106" t="str">
        <f ca="1">IF(ISBLANK(OFFSET('Data Table'!$A527,2,Settings!$G$5)),"",OFFSET('Data Table'!$A527,2,Settings!$G$5))</f>
        <v/>
      </c>
      <c r="F532" s="143" t="str">
        <f ca="1">IF(ISBLANK(OFFSET('Data Table'!$A527,2,Settings!$G$5+1)),"",OFFSET('Data Table'!$A527,2,Settings!$G$5+1))</f>
        <v/>
      </c>
      <c r="G532">
        <f t="shared" ca="1" si="8"/>
        <v>8</v>
      </c>
      <c r="H532">
        <f ca="1">IF(G532=-888,"",IF(G532=-999,Settings!$G$4,IF(AND($AA$6="Excluded",G532&gt;=Settings!$G$2),"",G532)))</f>
        <v>8</v>
      </c>
      <c r="I532">
        <f ca="1">IF(OR(G532=-999,G532=-888,AND($AA$6="Excluded",G532&gt;=Settings!$G$2)),"",G532)</f>
        <v>8</v>
      </c>
      <c r="O532" s="46"/>
    </row>
    <row r="533" spans="1:15" x14ac:dyDescent="0.2">
      <c r="A533" s="1">
        <v>528</v>
      </c>
      <c r="B533" t="str">
        <f>IF(ISERROR(MATCH(TRIM('Data Table'!D530),Settings!$G$15:$G$20,0)),TRIM('Data Table'!D530),LOOKUP(TRIM('Data Table'!D530),Settings!$G$15:$G$20,Settings!$H$15:$H$20))</f>
        <v>Wake</v>
      </c>
      <c r="C533" t="str">
        <f>IF('Data Table'!F530="","SS",IF('Data Table'!F530="SF","SD",TRIM('Data Table'!F530)))</f>
        <v>SD</v>
      </c>
      <c r="D533" s="106">
        <f ca="1">IF(ISBLANK(OFFSET('Data Table'!$A528,2,Settings!$G$5-1)),"",OFFSET('Data Table'!$A528,2,Settings!$G$5-1))</f>
        <v>20</v>
      </c>
      <c r="E533" s="106" t="str">
        <f ca="1">IF(ISBLANK(OFFSET('Data Table'!$A528,2,Settings!$G$5)),"",OFFSET('Data Table'!$A528,2,Settings!$G$5))</f>
        <v/>
      </c>
      <c r="F533" s="143" t="str">
        <f ca="1">IF(ISBLANK(OFFSET('Data Table'!$A528,2,Settings!$G$5+1)),"",OFFSET('Data Table'!$A528,2,Settings!$G$5+1))</f>
        <v/>
      </c>
      <c r="G533">
        <f t="shared" ca="1" si="8"/>
        <v>20</v>
      </c>
      <c r="H533">
        <f ca="1">IF(G533=-888,"",IF(G533=-999,Settings!$G$4,IF(AND($AA$6="Excluded",G533&gt;=Settings!$G$2),"",G533)))</f>
        <v>20</v>
      </c>
      <c r="I533">
        <f ca="1">IF(OR(G533=-999,G533=-888,AND($AA$6="Excluded",G533&gt;=Settings!$G$2)),"",G533)</f>
        <v>20</v>
      </c>
      <c r="O533" s="46"/>
    </row>
    <row r="534" spans="1:15" x14ac:dyDescent="0.2">
      <c r="A534" s="1">
        <v>529</v>
      </c>
      <c r="B534" t="str">
        <f>IF(ISERROR(MATCH(TRIM('Data Table'!D531),Settings!$G$15:$G$20,0)),TRIM('Data Table'!D531),LOOKUP(TRIM('Data Table'!D531),Settings!$G$15:$G$20,Settings!$H$15:$H$20))</f>
        <v>New Hanover</v>
      </c>
      <c r="C534" t="str">
        <f>IF('Data Table'!F531="","SS",IF('Data Table'!F531="SF","SD",TRIM('Data Table'!F531)))</f>
        <v>SB</v>
      </c>
      <c r="D534" s="106" t="str">
        <f ca="1">IF(ISBLANK(OFFSET('Data Table'!$A529,2,Settings!$G$5-1)),"",OFFSET('Data Table'!$A529,2,Settings!$G$5-1))</f>
        <v/>
      </c>
      <c r="E534" s="106" t="str">
        <f ca="1">IF(ISBLANK(OFFSET('Data Table'!$A529,2,Settings!$G$5)),"",OFFSET('Data Table'!$A529,2,Settings!$G$5))</f>
        <v/>
      </c>
      <c r="F534" s="143">
        <f ca="1">IF(ISBLANK(OFFSET('Data Table'!$A529,2,Settings!$G$5+1)),"",OFFSET('Data Table'!$A529,2,Settings!$G$5+1))</f>
        <v>20</v>
      </c>
      <c r="G534">
        <f t="shared" ca="1" si="8"/>
        <v>20</v>
      </c>
      <c r="H534">
        <f ca="1">IF(G534=-888,"",IF(G534=-999,Settings!$G$4,IF(AND($AA$6="Excluded",G534&gt;=Settings!$G$2),"",G534)))</f>
        <v>20</v>
      </c>
      <c r="I534">
        <f ca="1">IF(OR(G534=-999,G534=-888,AND($AA$6="Excluded",G534&gt;=Settings!$G$2)),"",G534)</f>
        <v>20</v>
      </c>
      <c r="O534" s="46"/>
    </row>
    <row r="535" spans="1:15" x14ac:dyDescent="0.2">
      <c r="A535" s="1">
        <v>530</v>
      </c>
      <c r="B535" t="str">
        <f>IF(ISERROR(MATCH(TRIM('Data Table'!D532),Settings!$G$15:$G$20,0)),TRIM('Data Table'!D532),LOOKUP(TRIM('Data Table'!D532),Settings!$G$15:$G$20,Settings!$H$15:$H$20))</f>
        <v>Catawba</v>
      </c>
      <c r="C535" t="str">
        <f>IF('Data Table'!F532="","SS",IF('Data Table'!F532="SF","SD",TRIM('Data Table'!F532)))</f>
        <v>SB</v>
      </c>
      <c r="D535" s="106">
        <f ca="1">IF(ISBLANK(OFFSET('Data Table'!$A530,2,Settings!$G$5-1)),"",OFFSET('Data Table'!$A530,2,Settings!$G$5-1))</f>
        <v>17</v>
      </c>
      <c r="E535" s="106" t="str">
        <f ca="1">IF(ISBLANK(OFFSET('Data Table'!$A530,2,Settings!$G$5)),"",OFFSET('Data Table'!$A530,2,Settings!$G$5))</f>
        <v/>
      </c>
      <c r="F535" s="143" t="str">
        <f ca="1">IF(ISBLANK(OFFSET('Data Table'!$A530,2,Settings!$G$5+1)),"",OFFSET('Data Table'!$A530,2,Settings!$G$5+1))</f>
        <v/>
      </c>
      <c r="G535">
        <f t="shared" ca="1" si="8"/>
        <v>17</v>
      </c>
      <c r="H535">
        <f ca="1">IF(G535=-888,"",IF(G535=-999,Settings!$G$4,IF(AND($AA$6="Excluded",G535&gt;=Settings!$G$2),"",G535)))</f>
        <v>17</v>
      </c>
      <c r="I535">
        <f ca="1">IF(OR(G535=-999,G535=-888,AND($AA$6="Excluded",G535&gt;=Settings!$G$2)),"",G535)</f>
        <v>17</v>
      </c>
      <c r="O535" s="46"/>
    </row>
    <row r="536" spans="1:15" x14ac:dyDescent="0.2">
      <c r="A536" s="1">
        <v>531</v>
      </c>
      <c r="B536" t="str">
        <f>IF(ISERROR(MATCH(TRIM('Data Table'!D533),Settings!$G$15:$G$20,0)),TRIM('Data Table'!D533),LOOKUP(TRIM('Data Table'!D533),Settings!$G$15:$G$20,Settings!$H$15:$H$20))</f>
        <v>Catawba</v>
      </c>
      <c r="C536" t="str">
        <f>IF('Data Table'!F533="","SS",IF('Data Table'!F533="SF","SD",TRIM('Data Table'!F533)))</f>
        <v>SB</v>
      </c>
      <c r="D536" s="106">
        <f ca="1">IF(ISBLANK(OFFSET('Data Table'!$A531,2,Settings!$G$5-1)),"",OFFSET('Data Table'!$A531,2,Settings!$G$5-1))</f>
        <v>10</v>
      </c>
      <c r="E536" s="106" t="str">
        <f ca="1">IF(ISBLANK(OFFSET('Data Table'!$A531,2,Settings!$G$5)),"",OFFSET('Data Table'!$A531,2,Settings!$G$5))</f>
        <v/>
      </c>
      <c r="F536" s="143" t="str">
        <f ca="1">IF(ISBLANK(OFFSET('Data Table'!$A531,2,Settings!$G$5+1)),"",OFFSET('Data Table'!$A531,2,Settings!$G$5+1))</f>
        <v/>
      </c>
      <c r="G536">
        <f t="shared" ca="1" si="8"/>
        <v>10</v>
      </c>
      <c r="H536">
        <f ca="1">IF(G536=-888,"",IF(G536=-999,Settings!$G$4,IF(AND($AA$6="Excluded",G536&gt;=Settings!$G$2),"",G536)))</f>
        <v>10</v>
      </c>
      <c r="I536">
        <f ca="1">IF(OR(G536=-999,G536=-888,AND($AA$6="Excluded",G536&gt;=Settings!$G$2)),"",G536)</f>
        <v>10</v>
      </c>
      <c r="O536" s="46"/>
    </row>
    <row r="537" spans="1:15" x14ac:dyDescent="0.2">
      <c r="A537" s="1">
        <v>532</v>
      </c>
      <c r="B537" t="str">
        <f>IF(ISERROR(MATCH(TRIM('Data Table'!D534),Settings!$G$15:$G$20,0)),TRIM('Data Table'!D534),LOOKUP(TRIM('Data Table'!D534),Settings!$G$15:$G$20,Settings!$H$15:$H$20))</f>
        <v>Catawba</v>
      </c>
      <c r="C537" t="str">
        <f>IF('Data Table'!F534="","SS",IF('Data Table'!F534="SF","SD",TRIM('Data Table'!F534)))</f>
        <v>SS</v>
      </c>
      <c r="D537" s="106">
        <f ca="1">IF(ISBLANK(OFFSET('Data Table'!$A532,2,Settings!$G$5-1)),"",OFFSET('Data Table'!$A532,2,Settings!$G$5-1))</f>
        <v>6</v>
      </c>
      <c r="E537" s="106" t="str">
        <f ca="1">IF(ISBLANK(OFFSET('Data Table'!$A532,2,Settings!$G$5)),"",OFFSET('Data Table'!$A532,2,Settings!$G$5))</f>
        <v/>
      </c>
      <c r="F537" s="143" t="str">
        <f ca="1">IF(ISBLANK(OFFSET('Data Table'!$A532,2,Settings!$G$5+1)),"",OFFSET('Data Table'!$A532,2,Settings!$G$5+1))</f>
        <v/>
      </c>
      <c r="G537">
        <f t="shared" ca="1" si="8"/>
        <v>6</v>
      </c>
      <c r="H537">
        <f ca="1">IF(G537=-888,"",IF(G537=-999,Settings!$G$4,IF(AND($AA$6="Excluded",G537&gt;=Settings!$G$2),"",G537)))</f>
        <v>6</v>
      </c>
      <c r="I537">
        <f ca="1">IF(OR(G537=-999,G537=-888,AND($AA$6="Excluded",G537&gt;=Settings!$G$2)),"",G537)</f>
        <v>6</v>
      </c>
      <c r="O537" s="46"/>
    </row>
    <row r="538" spans="1:15" x14ac:dyDescent="0.2">
      <c r="A538" s="1">
        <v>533</v>
      </c>
      <c r="B538" t="str">
        <f>IF(ISERROR(MATCH(TRIM('Data Table'!D535),Settings!$G$15:$G$20,0)),TRIM('Data Table'!D535),LOOKUP(TRIM('Data Table'!D535),Settings!$G$15:$G$20,Settings!$H$15:$H$20))</f>
        <v>Moore</v>
      </c>
      <c r="C538" t="str">
        <f>IF('Data Table'!F535="","SS",IF('Data Table'!F535="SF","SD",TRIM('Data Table'!F535)))</f>
        <v>SS</v>
      </c>
      <c r="D538" s="106">
        <f ca="1">IF(ISBLANK(OFFSET('Data Table'!$A533,2,Settings!$G$5-1)),"",OFFSET('Data Table'!$A533,2,Settings!$G$5-1))</f>
        <v>7.8299999999999995E-2</v>
      </c>
      <c r="E538" s="106" t="str">
        <f ca="1">IF(ISBLANK(OFFSET('Data Table'!$A533,2,Settings!$G$5)),"",OFFSET('Data Table'!$A533,2,Settings!$G$5))</f>
        <v/>
      </c>
      <c r="F538" s="143" t="str">
        <f ca="1">IF(ISBLANK(OFFSET('Data Table'!$A533,2,Settings!$G$5+1)),"",OFFSET('Data Table'!$A533,2,Settings!$G$5+1))</f>
        <v/>
      </c>
      <c r="G538">
        <f t="shared" ca="1" si="8"/>
        <v>7.8299999999999995E-2</v>
      </c>
      <c r="H538">
        <f ca="1">IF(G538=-888,"",IF(G538=-999,Settings!$G$4,IF(AND($AA$6="Excluded",G538&gt;=Settings!$G$2),"",G538)))</f>
        <v>7.8299999999999995E-2</v>
      </c>
      <c r="I538">
        <f ca="1">IF(OR(G538=-999,G538=-888,AND($AA$6="Excluded",G538&gt;=Settings!$G$2)),"",G538)</f>
        <v>7.8299999999999995E-2</v>
      </c>
      <c r="O538" s="46"/>
    </row>
    <row r="539" spans="1:15" x14ac:dyDescent="0.2">
      <c r="A539" s="1">
        <v>534</v>
      </c>
      <c r="B539" t="str">
        <f>IF(ISERROR(MATCH(TRIM('Data Table'!D536),Settings!$G$15:$G$20,0)),TRIM('Data Table'!D536),LOOKUP(TRIM('Data Table'!D536),Settings!$G$15:$G$20,Settings!$H$15:$H$20))</f>
        <v>Moore</v>
      </c>
      <c r="C539" t="str">
        <f>IF('Data Table'!F536="","SS",IF('Data Table'!F536="SF","SD",TRIM('Data Table'!F536)))</f>
        <v>SS</v>
      </c>
      <c r="D539" s="106" t="str">
        <f ca="1">IF(ISBLANK(OFFSET('Data Table'!$A534,2,Settings!$G$5-1)),"",OFFSET('Data Table'!$A534,2,Settings!$G$5-1))</f>
        <v/>
      </c>
      <c r="E539" s="106" t="str">
        <f ca="1">IF(ISBLANK(OFFSET('Data Table'!$A534,2,Settings!$G$5)),"",OFFSET('Data Table'!$A534,2,Settings!$G$5))</f>
        <v/>
      </c>
      <c r="F539" s="143">
        <f ca="1">IF(ISBLANK(OFFSET('Data Table'!$A534,2,Settings!$G$5+1)),"",OFFSET('Data Table'!$A534,2,Settings!$G$5+1))</f>
        <v>20</v>
      </c>
      <c r="G539">
        <f t="shared" ca="1" si="8"/>
        <v>20</v>
      </c>
      <c r="H539">
        <f ca="1">IF(G539=-888,"",IF(G539=-999,Settings!$G$4,IF(AND($AA$6="Excluded",G539&gt;=Settings!$G$2),"",G539)))</f>
        <v>20</v>
      </c>
      <c r="I539">
        <f ca="1">IF(OR(G539=-999,G539=-888,AND($AA$6="Excluded",G539&gt;=Settings!$G$2)),"",G539)</f>
        <v>20</v>
      </c>
      <c r="O539" s="46"/>
    </row>
    <row r="540" spans="1:15" x14ac:dyDescent="0.2">
      <c r="A540" s="1">
        <v>535</v>
      </c>
      <c r="B540" t="str">
        <f>IF(ISERROR(MATCH(TRIM('Data Table'!D537),Settings!$G$15:$G$20,0)),TRIM('Data Table'!D537),LOOKUP(TRIM('Data Table'!D537),Settings!$G$15:$G$20,Settings!$H$15:$H$20))</f>
        <v>New Hanover</v>
      </c>
      <c r="C540" t="str">
        <f>IF('Data Table'!F537="","SS",IF('Data Table'!F537="SF","SD",TRIM('Data Table'!F537)))</f>
        <v>SS</v>
      </c>
      <c r="D540" s="106" t="str">
        <f ca="1">IF(ISBLANK(OFFSET('Data Table'!$A535,2,Settings!$G$5-1)),"",OFFSET('Data Table'!$A535,2,Settings!$G$5-1))</f>
        <v/>
      </c>
      <c r="E540" s="106" t="str">
        <f ca="1">IF(ISBLANK(OFFSET('Data Table'!$A535,2,Settings!$G$5)),"",OFFSET('Data Table'!$A535,2,Settings!$G$5))</f>
        <v/>
      </c>
      <c r="F540" s="143">
        <f ca="1">IF(ISBLANK(OFFSET('Data Table'!$A535,2,Settings!$G$5+1)),"",OFFSET('Data Table'!$A535,2,Settings!$G$5+1))</f>
        <v>1</v>
      </c>
      <c r="G540">
        <f t="shared" ca="1" si="8"/>
        <v>1</v>
      </c>
      <c r="H540">
        <f ca="1">IF(G540=-888,"",IF(G540=-999,Settings!$G$4,IF(AND($AA$6="Excluded",G540&gt;=Settings!$G$2),"",G540)))</f>
        <v>1</v>
      </c>
      <c r="I540">
        <f ca="1">IF(OR(G540=-999,G540=-888,AND($AA$6="Excluded",G540&gt;=Settings!$G$2)),"",G540)</f>
        <v>1</v>
      </c>
      <c r="O540" s="46"/>
    </row>
    <row r="541" spans="1:15" x14ac:dyDescent="0.2">
      <c r="A541" s="1">
        <v>536</v>
      </c>
      <c r="B541" t="str">
        <f>IF(ISERROR(MATCH(TRIM('Data Table'!D538),Settings!$G$15:$G$20,0)),TRIM('Data Table'!D538),LOOKUP(TRIM('Data Table'!D538),Settings!$G$15:$G$20,Settings!$H$15:$H$20))</f>
        <v>Lenoir</v>
      </c>
      <c r="C541" t="str">
        <f>IF('Data Table'!F538="","SS",IF('Data Table'!F538="SF","SD",TRIM('Data Table'!F538)))</f>
        <v>SS</v>
      </c>
      <c r="D541" s="106">
        <f ca="1">IF(ISBLANK(OFFSET('Data Table'!$A536,2,Settings!$G$5-1)),"",OFFSET('Data Table'!$A536,2,Settings!$G$5-1))</f>
        <v>4</v>
      </c>
      <c r="E541" s="106" t="str">
        <f ca="1">IF(ISBLANK(OFFSET('Data Table'!$A536,2,Settings!$G$5)),"",OFFSET('Data Table'!$A536,2,Settings!$G$5))</f>
        <v/>
      </c>
      <c r="F541" s="143" t="str">
        <f ca="1">IF(ISBLANK(OFFSET('Data Table'!$A536,2,Settings!$G$5+1)),"",OFFSET('Data Table'!$A536,2,Settings!$G$5+1))</f>
        <v/>
      </c>
      <c r="G541">
        <f t="shared" ca="1" si="8"/>
        <v>4</v>
      </c>
      <c r="H541">
        <f ca="1">IF(G541=-888,"",IF(G541=-999,Settings!$G$4,IF(AND($AA$6="Excluded",G541&gt;=Settings!$G$2),"",G541)))</f>
        <v>4</v>
      </c>
      <c r="I541">
        <f ca="1">IF(OR(G541=-999,G541=-888,AND($AA$6="Excluded",G541&gt;=Settings!$G$2)),"",G541)</f>
        <v>4</v>
      </c>
      <c r="O541" s="46"/>
    </row>
    <row r="542" spans="1:15" x14ac:dyDescent="0.2">
      <c r="A542" s="1">
        <v>537</v>
      </c>
      <c r="B542" t="str">
        <f>IF(ISERROR(MATCH(TRIM('Data Table'!D539),Settings!$G$15:$G$20,0)),TRIM('Data Table'!D539),LOOKUP(TRIM('Data Table'!D539),Settings!$G$15:$G$20,Settings!$H$15:$H$20))</f>
        <v>Lenoir</v>
      </c>
      <c r="C542" t="str">
        <f>IF('Data Table'!F539="","SS",IF('Data Table'!F539="SF","SD",TRIM('Data Table'!F539)))</f>
        <v>SD</v>
      </c>
      <c r="D542" s="106">
        <f ca="1">IF(ISBLANK(OFFSET('Data Table'!$A537,2,Settings!$G$5-1)),"",OFFSET('Data Table'!$A537,2,Settings!$G$5-1))</f>
        <v>10</v>
      </c>
      <c r="E542" s="106" t="str">
        <f ca="1">IF(ISBLANK(OFFSET('Data Table'!$A537,2,Settings!$G$5)),"",OFFSET('Data Table'!$A537,2,Settings!$G$5))</f>
        <v/>
      </c>
      <c r="F542" s="143" t="str">
        <f ca="1">IF(ISBLANK(OFFSET('Data Table'!$A537,2,Settings!$G$5+1)),"",OFFSET('Data Table'!$A537,2,Settings!$G$5+1))</f>
        <v/>
      </c>
      <c r="G542">
        <f t="shared" ca="1" si="8"/>
        <v>10</v>
      </c>
      <c r="H542">
        <f ca="1">IF(G542=-888,"",IF(G542=-999,Settings!$G$4,IF(AND($AA$6="Excluded",G542&gt;=Settings!$G$2),"",G542)))</f>
        <v>10</v>
      </c>
      <c r="I542">
        <f ca="1">IF(OR(G542=-999,G542=-888,AND($AA$6="Excluded",G542&gt;=Settings!$G$2)),"",G542)</f>
        <v>10</v>
      </c>
      <c r="O542" s="46"/>
    </row>
    <row r="543" spans="1:15" x14ac:dyDescent="0.2">
      <c r="A543" s="1">
        <v>538</v>
      </c>
      <c r="B543" t="str">
        <f>IF(ISERROR(MATCH(TRIM('Data Table'!D540),Settings!$G$15:$G$20,0)),TRIM('Data Table'!D540),LOOKUP(TRIM('Data Table'!D540),Settings!$G$15:$G$20,Settings!$H$15:$H$20))</f>
        <v>Lenoir</v>
      </c>
      <c r="C543" t="str">
        <f>IF('Data Table'!F540="","SS",IF('Data Table'!F540="SF","SD",TRIM('Data Table'!F540)))</f>
        <v>SD</v>
      </c>
      <c r="D543" s="106">
        <f ca="1">IF(ISBLANK(OFFSET('Data Table'!$A538,2,Settings!$G$5-1)),"",OFFSET('Data Table'!$A538,2,Settings!$G$5-1))</f>
        <v>12</v>
      </c>
      <c r="E543" s="106" t="str">
        <f ca="1">IF(ISBLANK(OFFSET('Data Table'!$A538,2,Settings!$G$5)),"",OFFSET('Data Table'!$A538,2,Settings!$G$5))</f>
        <v/>
      </c>
      <c r="F543" s="143" t="str">
        <f ca="1">IF(ISBLANK(OFFSET('Data Table'!$A538,2,Settings!$G$5+1)),"",OFFSET('Data Table'!$A538,2,Settings!$G$5+1))</f>
        <v/>
      </c>
      <c r="G543">
        <f t="shared" ca="1" si="8"/>
        <v>12</v>
      </c>
      <c r="H543">
        <f ca="1">IF(G543=-888,"",IF(G543=-999,Settings!$G$4,IF(AND($AA$6="Excluded",G543&gt;=Settings!$G$2),"",G543)))</f>
        <v>12</v>
      </c>
      <c r="I543">
        <f ca="1">IF(OR(G543=-999,G543=-888,AND($AA$6="Excluded",G543&gt;=Settings!$G$2)),"",G543)</f>
        <v>12</v>
      </c>
      <c r="O543" s="46"/>
    </row>
    <row r="544" spans="1:15" x14ac:dyDescent="0.2">
      <c r="A544" s="1">
        <v>539</v>
      </c>
      <c r="B544" t="str">
        <f>IF(ISERROR(MATCH(TRIM('Data Table'!D541),Settings!$G$15:$G$20,0)),TRIM('Data Table'!D541),LOOKUP(TRIM('Data Table'!D541),Settings!$G$15:$G$20,Settings!$H$15:$H$20))</f>
        <v>Lenoir</v>
      </c>
      <c r="C544" t="str">
        <f>IF('Data Table'!F541="","SS",IF('Data Table'!F541="SF","SD",TRIM('Data Table'!F541)))</f>
        <v>SD</v>
      </c>
      <c r="D544" s="106" t="str">
        <f ca="1">IF(ISBLANK(OFFSET('Data Table'!$A539,2,Settings!$G$5-1)),"",OFFSET('Data Table'!$A539,2,Settings!$G$5-1))</f>
        <v/>
      </c>
      <c r="E544" s="106" t="str">
        <f ca="1">IF(ISBLANK(OFFSET('Data Table'!$A539,2,Settings!$G$5)),"",OFFSET('Data Table'!$A539,2,Settings!$G$5))</f>
        <v/>
      </c>
      <c r="F544" s="143">
        <f ca="1">IF(ISBLANK(OFFSET('Data Table'!$A539,2,Settings!$G$5+1)),"",OFFSET('Data Table'!$A539,2,Settings!$G$5+1))</f>
        <v>4</v>
      </c>
      <c r="G544">
        <f t="shared" ca="1" si="8"/>
        <v>4</v>
      </c>
      <c r="H544">
        <f ca="1">IF(G544=-888,"",IF(G544=-999,Settings!$G$4,IF(AND($AA$6="Excluded",G544&gt;=Settings!$G$2),"",G544)))</f>
        <v>4</v>
      </c>
      <c r="I544">
        <f ca="1">IF(OR(G544=-999,G544=-888,AND($AA$6="Excluded",G544&gt;=Settings!$G$2)),"",G544)</f>
        <v>4</v>
      </c>
      <c r="O544" s="46"/>
    </row>
    <row r="545" spans="1:15" x14ac:dyDescent="0.2">
      <c r="A545" s="1">
        <v>540</v>
      </c>
      <c r="B545" t="str">
        <f>IF(ISERROR(MATCH(TRIM('Data Table'!D542),Settings!$G$15:$G$20,0)),TRIM('Data Table'!D542),LOOKUP(TRIM('Data Table'!D542),Settings!$G$15:$G$20,Settings!$H$15:$H$20))</f>
        <v>Columbus</v>
      </c>
      <c r="C545" t="str">
        <f>IF('Data Table'!F542="","SS",IF('Data Table'!F542="SF","SD",TRIM('Data Table'!F542)))</f>
        <v>SS</v>
      </c>
      <c r="D545" s="106" t="str">
        <f ca="1">IF(ISBLANK(OFFSET('Data Table'!$A540,2,Settings!$G$5-1)),"",OFFSET('Data Table'!$A540,2,Settings!$G$5-1))</f>
        <v/>
      </c>
      <c r="E545" s="106" t="str">
        <f ca="1">IF(ISBLANK(OFFSET('Data Table'!$A540,2,Settings!$G$5)),"",OFFSET('Data Table'!$A540,2,Settings!$G$5))</f>
        <v/>
      </c>
      <c r="F545" s="143">
        <f ca="1">IF(ISBLANK(OFFSET('Data Table'!$A540,2,Settings!$G$5+1)),"",OFFSET('Data Table'!$A540,2,Settings!$G$5+1))</f>
        <v>2.2000000000000002</v>
      </c>
      <c r="G545">
        <f t="shared" ca="1" si="8"/>
        <v>2.2000000000000002</v>
      </c>
      <c r="H545">
        <f ca="1">IF(G545=-888,"",IF(G545=-999,Settings!$G$4,IF(AND($AA$6="Excluded",G545&gt;=Settings!$G$2),"",G545)))</f>
        <v>2.2000000000000002</v>
      </c>
      <c r="I545">
        <f ca="1">IF(OR(G545=-999,G545=-888,AND($AA$6="Excluded",G545&gt;=Settings!$G$2)),"",G545)</f>
        <v>2.2000000000000002</v>
      </c>
      <c r="O545" s="46"/>
    </row>
    <row r="546" spans="1:15" x14ac:dyDescent="0.2">
      <c r="A546" s="1">
        <v>541</v>
      </c>
      <c r="B546" t="str">
        <f>IF(ISERROR(MATCH(TRIM('Data Table'!D543),Settings!$G$15:$G$20,0)),TRIM('Data Table'!D543),LOOKUP(TRIM('Data Table'!D543),Settings!$G$15:$G$20,Settings!$H$15:$H$20))</f>
        <v>Columbus</v>
      </c>
      <c r="C546" t="str">
        <f>IF('Data Table'!F543="","SS",IF('Data Table'!F543="SF","SD",TRIM('Data Table'!F543)))</f>
        <v>SD</v>
      </c>
      <c r="D546" s="106">
        <f ca="1">IF(ISBLANK(OFFSET('Data Table'!$A541,2,Settings!$G$5-1)),"",OFFSET('Data Table'!$A541,2,Settings!$G$5-1))</f>
        <v>4</v>
      </c>
      <c r="E546" s="106" t="str">
        <f ca="1">IF(ISBLANK(OFFSET('Data Table'!$A541,2,Settings!$G$5)),"",OFFSET('Data Table'!$A541,2,Settings!$G$5))</f>
        <v/>
      </c>
      <c r="F546" s="143" t="str">
        <f ca="1">IF(ISBLANK(OFFSET('Data Table'!$A541,2,Settings!$G$5+1)),"",OFFSET('Data Table'!$A541,2,Settings!$G$5+1))</f>
        <v/>
      </c>
      <c r="G546">
        <f t="shared" ca="1" si="8"/>
        <v>4</v>
      </c>
      <c r="H546">
        <f ca="1">IF(G546=-888,"",IF(G546=-999,Settings!$G$4,IF(AND($AA$6="Excluded",G546&gt;=Settings!$G$2),"",G546)))</f>
        <v>4</v>
      </c>
      <c r="I546">
        <f ca="1">IF(OR(G546=-999,G546=-888,AND($AA$6="Excluded",G546&gt;=Settings!$G$2)),"",G546)</f>
        <v>4</v>
      </c>
      <c r="O546" s="46"/>
    </row>
    <row r="547" spans="1:15" x14ac:dyDescent="0.2">
      <c r="A547" s="1">
        <v>542</v>
      </c>
      <c r="B547" t="str">
        <f>IF(ISERROR(MATCH(TRIM('Data Table'!D544),Settings!$G$15:$G$20,0)),TRIM('Data Table'!D544),LOOKUP(TRIM('Data Table'!D544),Settings!$G$15:$G$20,Settings!$H$15:$H$20))</f>
        <v>Columbus</v>
      </c>
      <c r="C547" t="str">
        <f>IF('Data Table'!F544="","SS",IF('Data Table'!F544="SF","SD",TRIM('Data Table'!F544)))</f>
        <v>SD</v>
      </c>
      <c r="D547" s="106">
        <f ca="1">IF(ISBLANK(OFFSET('Data Table'!$A542,2,Settings!$G$5-1)),"",OFFSET('Data Table'!$A542,2,Settings!$G$5-1))</f>
        <v>3.5</v>
      </c>
      <c r="E547" s="106" t="str">
        <f ca="1">IF(ISBLANK(OFFSET('Data Table'!$A542,2,Settings!$G$5)),"",OFFSET('Data Table'!$A542,2,Settings!$G$5))</f>
        <v/>
      </c>
      <c r="F547" s="143" t="str">
        <f ca="1">IF(ISBLANK(OFFSET('Data Table'!$A542,2,Settings!$G$5+1)),"",OFFSET('Data Table'!$A542,2,Settings!$G$5+1))</f>
        <v/>
      </c>
      <c r="G547">
        <f t="shared" ca="1" si="8"/>
        <v>3.5</v>
      </c>
      <c r="H547">
        <f ca="1">IF(G547=-888,"",IF(G547=-999,Settings!$G$4,IF(AND($AA$6="Excluded",G547&gt;=Settings!$G$2),"",G547)))</f>
        <v>3.5</v>
      </c>
      <c r="I547">
        <f ca="1">IF(OR(G547=-999,G547=-888,AND($AA$6="Excluded",G547&gt;=Settings!$G$2)),"",G547)</f>
        <v>3.5</v>
      </c>
      <c r="O547" s="46"/>
    </row>
    <row r="548" spans="1:15" x14ac:dyDescent="0.2">
      <c r="A548" s="1">
        <v>543</v>
      </c>
      <c r="B548" t="str">
        <f>IF(ISERROR(MATCH(TRIM('Data Table'!D545),Settings!$G$15:$G$20,0)),TRIM('Data Table'!D545),LOOKUP(TRIM('Data Table'!D545),Settings!$G$15:$G$20,Settings!$H$15:$H$20))</f>
        <v>Columbus</v>
      </c>
      <c r="C548" t="str">
        <f>IF('Data Table'!F545="","SS",IF('Data Table'!F545="SF","SD",TRIM('Data Table'!F545)))</f>
        <v>SD</v>
      </c>
      <c r="D548" s="106">
        <f ca="1">IF(ISBLANK(OFFSET('Data Table'!$A543,2,Settings!$G$5-1)),"",OFFSET('Data Table'!$A543,2,Settings!$G$5-1))</f>
        <v>20</v>
      </c>
      <c r="E548" s="106" t="str">
        <f ca="1">IF(ISBLANK(OFFSET('Data Table'!$A543,2,Settings!$G$5)),"",OFFSET('Data Table'!$A543,2,Settings!$G$5))</f>
        <v/>
      </c>
      <c r="F548" s="143" t="str">
        <f ca="1">IF(ISBLANK(OFFSET('Data Table'!$A543,2,Settings!$G$5+1)),"",OFFSET('Data Table'!$A543,2,Settings!$G$5+1))</f>
        <v/>
      </c>
      <c r="G548">
        <f t="shared" ca="1" si="8"/>
        <v>20</v>
      </c>
      <c r="H548">
        <f ca="1">IF(G548=-888,"",IF(G548=-999,Settings!$G$4,IF(AND($AA$6="Excluded",G548&gt;=Settings!$G$2),"",G548)))</f>
        <v>20</v>
      </c>
      <c r="I548">
        <f ca="1">IF(OR(G548=-999,G548=-888,AND($AA$6="Excluded",G548&gt;=Settings!$G$2)),"",G548)</f>
        <v>20</v>
      </c>
      <c r="O548" s="46"/>
    </row>
    <row r="549" spans="1:15" x14ac:dyDescent="0.2">
      <c r="A549" s="1">
        <v>544</v>
      </c>
      <c r="B549" t="str">
        <f>IF(ISERROR(MATCH(TRIM('Data Table'!D546),Settings!$G$15:$G$20,0)),TRIM('Data Table'!D546),LOOKUP(TRIM('Data Table'!D546),Settings!$G$15:$G$20,Settings!$H$15:$H$20))</f>
        <v>Craven</v>
      </c>
      <c r="C549" t="str">
        <f>IF('Data Table'!F546="","SS",IF('Data Table'!F546="SF","SD",TRIM('Data Table'!F546)))</f>
        <v>SS</v>
      </c>
      <c r="D549" s="106" t="str">
        <f ca="1">IF(ISBLANK(OFFSET('Data Table'!$A544,2,Settings!$G$5-1)),"",OFFSET('Data Table'!$A544,2,Settings!$G$5-1))</f>
        <v>#</v>
      </c>
      <c r="E549" s="106" t="str">
        <f ca="1">IF(ISBLANK(OFFSET('Data Table'!$A544,2,Settings!$G$5)),"",OFFSET('Data Table'!$A544,2,Settings!$G$5))</f>
        <v/>
      </c>
      <c r="F549" s="143" t="str">
        <f ca="1">IF(ISBLANK(OFFSET('Data Table'!$A544,2,Settings!$G$5+1)),"",OFFSET('Data Table'!$A544,2,Settings!$G$5+1))</f>
        <v/>
      </c>
      <c r="G549">
        <f t="shared" ca="1" si="8"/>
        <v>-999</v>
      </c>
      <c r="H549">
        <f ca="1">IF(G549=-888,"",IF(G549=-999,Settings!$G$4,IF(AND($AA$6="Excluded",G549&gt;=Settings!$G$2),"",G549)))</f>
        <v>5.0000000000000001E-3</v>
      </c>
      <c r="I549" t="str">
        <f ca="1">IF(OR(G549=-999,G549=-888,AND($AA$6="Excluded",G549&gt;=Settings!$G$2)),"",G549)</f>
        <v/>
      </c>
      <c r="O549" s="46"/>
    </row>
    <row r="550" spans="1:15" x14ac:dyDescent="0.2">
      <c r="A550" s="1">
        <v>545</v>
      </c>
      <c r="B550" t="str">
        <f>IF(ISERROR(MATCH(TRIM('Data Table'!D547),Settings!$G$15:$G$20,0)),TRIM('Data Table'!D547),LOOKUP(TRIM('Data Table'!D547),Settings!$G$15:$G$20,Settings!$H$15:$H$20))</f>
        <v>Craven</v>
      </c>
      <c r="C550" t="str">
        <f>IF('Data Table'!F547="","SS",IF('Data Table'!F547="SF","SD",TRIM('Data Table'!F547)))</f>
        <v>SS</v>
      </c>
      <c r="D550" s="106" t="str">
        <f ca="1">IF(ISBLANK(OFFSET('Data Table'!$A545,2,Settings!$G$5-1)),"",OFFSET('Data Table'!$A545,2,Settings!$G$5-1))</f>
        <v>#</v>
      </c>
      <c r="E550" s="106" t="str">
        <f ca="1">IF(ISBLANK(OFFSET('Data Table'!$A545,2,Settings!$G$5)),"",OFFSET('Data Table'!$A545,2,Settings!$G$5))</f>
        <v/>
      </c>
      <c r="F550" s="143" t="str">
        <f ca="1">IF(ISBLANK(OFFSET('Data Table'!$A545,2,Settings!$G$5+1)),"",OFFSET('Data Table'!$A545,2,Settings!$G$5+1))</f>
        <v/>
      </c>
      <c r="G550">
        <f t="shared" ca="1" si="8"/>
        <v>-999</v>
      </c>
      <c r="H550">
        <f ca="1">IF(G550=-888,"",IF(G550=-999,Settings!$G$4,IF(AND($AA$6="Excluded",G550&gt;=Settings!$G$2),"",G550)))</f>
        <v>5.0000000000000001E-3</v>
      </c>
      <c r="I550" t="str">
        <f ca="1">IF(OR(G550=-999,G550=-888,AND($AA$6="Excluded",G550&gt;=Settings!$G$2)),"",G550)</f>
        <v/>
      </c>
      <c r="O550" s="46"/>
    </row>
    <row r="551" spans="1:15" x14ac:dyDescent="0.2">
      <c r="A551" s="1">
        <v>546</v>
      </c>
      <c r="B551" t="str">
        <f>IF(ISERROR(MATCH(TRIM('Data Table'!D548),Settings!$G$15:$G$20,0)),TRIM('Data Table'!D548),LOOKUP(TRIM('Data Table'!D548),Settings!$G$15:$G$20,Settings!$H$15:$H$20))</f>
        <v>Craven</v>
      </c>
      <c r="C551" t="str">
        <f>IF('Data Table'!F548="","SS",IF('Data Table'!F548="SF","SD",TRIM('Data Table'!F548)))</f>
        <v>SS</v>
      </c>
      <c r="D551" s="106" t="str">
        <f ca="1">IF(ISBLANK(OFFSET('Data Table'!$A546,2,Settings!$G$5-1)),"",OFFSET('Data Table'!$A546,2,Settings!$G$5-1))</f>
        <v>#</v>
      </c>
      <c r="E551" s="106" t="str">
        <f ca="1">IF(ISBLANK(OFFSET('Data Table'!$A546,2,Settings!$G$5)),"",OFFSET('Data Table'!$A546,2,Settings!$G$5))</f>
        <v/>
      </c>
      <c r="F551" s="143" t="str">
        <f ca="1">IF(ISBLANK(OFFSET('Data Table'!$A546,2,Settings!$G$5+1)),"",OFFSET('Data Table'!$A546,2,Settings!$G$5+1))</f>
        <v/>
      </c>
      <c r="G551">
        <f t="shared" ca="1" si="8"/>
        <v>-999</v>
      </c>
      <c r="H551">
        <f ca="1">IF(G551=-888,"",IF(G551=-999,Settings!$G$4,IF(AND($AA$6="Excluded",G551&gt;=Settings!$G$2),"",G551)))</f>
        <v>5.0000000000000001E-3</v>
      </c>
      <c r="I551" t="str">
        <f ca="1">IF(OR(G551=-999,G551=-888,AND($AA$6="Excluded",G551&gt;=Settings!$G$2)),"",G551)</f>
        <v/>
      </c>
      <c r="O551" s="46"/>
    </row>
    <row r="552" spans="1:15" x14ac:dyDescent="0.2">
      <c r="A552" s="1">
        <v>547</v>
      </c>
      <c r="B552" t="str">
        <f>IF(ISERROR(MATCH(TRIM('Data Table'!D549),Settings!$G$15:$G$20,0)),TRIM('Data Table'!D549),LOOKUP(TRIM('Data Table'!D549),Settings!$G$15:$G$20,Settings!$H$15:$H$20))</f>
        <v>Craven</v>
      </c>
      <c r="C552" t="str">
        <f>IF('Data Table'!F549="","SS",IF('Data Table'!F549="SF","SD",TRIM('Data Table'!F549)))</f>
        <v>SS</v>
      </c>
      <c r="D552" s="106" t="str">
        <f ca="1">IF(ISBLANK(OFFSET('Data Table'!$A547,2,Settings!$G$5-1)),"",OFFSET('Data Table'!$A547,2,Settings!$G$5-1))</f>
        <v>#</v>
      </c>
      <c r="E552" s="106" t="str">
        <f ca="1">IF(ISBLANK(OFFSET('Data Table'!$A547,2,Settings!$G$5)),"",OFFSET('Data Table'!$A547,2,Settings!$G$5))</f>
        <v/>
      </c>
      <c r="F552" s="143" t="str">
        <f ca="1">IF(ISBLANK(OFFSET('Data Table'!$A547,2,Settings!$G$5+1)),"",OFFSET('Data Table'!$A547,2,Settings!$G$5+1))</f>
        <v/>
      </c>
      <c r="G552">
        <f t="shared" ca="1" si="8"/>
        <v>-999</v>
      </c>
      <c r="H552">
        <f ca="1">IF(G552=-888,"",IF(G552=-999,Settings!$G$4,IF(AND($AA$6="Excluded",G552&gt;=Settings!$G$2),"",G552)))</f>
        <v>5.0000000000000001E-3</v>
      </c>
      <c r="I552" t="str">
        <f ca="1">IF(OR(G552=-999,G552=-888,AND($AA$6="Excluded",G552&gt;=Settings!$G$2)),"",G552)</f>
        <v/>
      </c>
      <c r="O552" s="46"/>
    </row>
    <row r="553" spans="1:15" x14ac:dyDescent="0.2">
      <c r="A553" s="1">
        <v>548</v>
      </c>
      <c r="B553" t="str">
        <f>IF(ISERROR(MATCH(TRIM('Data Table'!D550),Settings!$G$15:$G$20,0)),TRIM('Data Table'!D550),LOOKUP(TRIM('Data Table'!D550),Settings!$G$15:$G$20,Settings!$H$15:$H$20))</f>
        <v>Craven</v>
      </c>
      <c r="C553" t="str">
        <f>IF('Data Table'!F550="","SS",IF('Data Table'!F550="SF","SD",TRIM('Data Table'!F550)))</f>
        <v>SS</v>
      </c>
      <c r="D553" s="106" t="str">
        <f ca="1">IF(ISBLANK(OFFSET('Data Table'!$A548,2,Settings!$G$5-1)),"",OFFSET('Data Table'!$A548,2,Settings!$G$5-1))</f>
        <v>#</v>
      </c>
      <c r="E553" s="106" t="str">
        <f ca="1">IF(ISBLANK(OFFSET('Data Table'!$A548,2,Settings!$G$5)),"",OFFSET('Data Table'!$A548,2,Settings!$G$5))</f>
        <v/>
      </c>
      <c r="F553" s="143" t="str">
        <f ca="1">IF(ISBLANK(OFFSET('Data Table'!$A548,2,Settings!$G$5+1)),"",OFFSET('Data Table'!$A548,2,Settings!$G$5+1))</f>
        <v/>
      </c>
      <c r="G553">
        <f t="shared" ca="1" si="8"/>
        <v>-999</v>
      </c>
      <c r="H553">
        <f ca="1">IF(G553=-888,"",IF(G553=-999,Settings!$G$4,IF(AND($AA$6="Excluded",G553&gt;=Settings!$G$2),"",G553)))</f>
        <v>5.0000000000000001E-3</v>
      </c>
      <c r="I553" t="str">
        <f ca="1">IF(OR(G553=-999,G553=-888,AND($AA$6="Excluded",G553&gt;=Settings!$G$2)),"",G553)</f>
        <v/>
      </c>
      <c r="O553" s="46"/>
    </row>
    <row r="554" spans="1:15" x14ac:dyDescent="0.2">
      <c r="A554" s="1">
        <v>549</v>
      </c>
      <c r="B554" t="str">
        <f>IF(ISERROR(MATCH(TRIM('Data Table'!D551),Settings!$G$15:$G$20,0)),TRIM('Data Table'!D551),LOOKUP(TRIM('Data Table'!D551),Settings!$G$15:$G$20,Settings!$H$15:$H$20))</f>
        <v>Wake</v>
      </c>
      <c r="C554" t="str">
        <f>IF('Data Table'!F551="","SS",IF('Data Table'!F551="SF","SD",TRIM('Data Table'!F551)))</f>
        <v>SS</v>
      </c>
      <c r="D554" s="106">
        <f ca="1">IF(ISBLANK(OFFSET('Data Table'!$A549,2,Settings!$G$5-1)),"",OFFSET('Data Table'!$A549,2,Settings!$G$5-1))</f>
        <v>23.1</v>
      </c>
      <c r="E554" s="106" t="str">
        <f ca="1">IF(ISBLANK(OFFSET('Data Table'!$A549,2,Settings!$G$5)),"",OFFSET('Data Table'!$A549,2,Settings!$G$5))</f>
        <v/>
      </c>
      <c r="F554" s="143" t="str">
        <f ca="1">IF(ISBLANK(OFFSET('Data Table'!$A549,2,Settings!$G$5+1)),"",OFFSET('Data Table'!$A549,2,Settings!$G$5+1))</f>
        <v/>
      </c>
      <c r="G554">
        <f t="shared" ca="1" si="8"/>
        <v>23.1</v>
      </c>
      <c r="H554">
        <f ca="1">IF(G554=-888,"",IF(G554=-999,Settings!$G$4,IF(AND($AA$6="Excluded",G554&gt;=Settings!$G$2),"",G554)))</f>
        <v>23.1</v>
      </c>
      <c r="I554">
        <f ca="1">IF(OR(G554=-999,G554=-888,AND($AA$6="Excluded",G554&gt;=Settings!$G$2)),"",G554)</f>
        <v>23.1</v>
      </c>
      <c r="O554" s="46"/>
    </row>
    <row r="555" spans="1:15" x14ac:dyDescent="0.2">
      <c r="A555" s="1">
        <v>550</v>
      </c>
      <c r="B555" t="str">
        <f>IF(ISERROR(MATCH(TRIM('Data Table'!D552),Settings!$G$15:$G$20,0)),TRIM('Data Table'!D552),LOOKUP(TRIM('Data Table'!D552),Settings!$G$15:$G$20,Settings!$H$15:$H$20))</f>
        <v>Wake</v>
      </c>
      <c r="C555" t="str">
        <f>IF('Data Table'!F552="","SS",IF('Data Table'!F552="SF","SD",TRIM('Data Table'!F552)))</f>
        <v>SS</v>
      </c>
      <c r="D555" s="106">
        <f ca="1">IF(ISBLANK(OFFSET('Data Table'!$A550,2,Settings!$G$5-1)),"",OFFSET('Data Table'!$A550,2,Settings!$G$5-1))</f>
        <v>25.1</v>
      </c>
      <c r="E555" s="106" t="str">
        <f ca="1">IF(ISBLANK(OFFSET('Data Table'!$A550,2,Settings!$G$5)),"",OFFSET('Data Table'!$A550,2,Settings!$G$5))</f>
        <v/>
      </c>
      <c r="F555" s="143" t="str">
        <f ca="1">IF(ISBLANK(OFFSET('Data Table'!$A550,2,Settings!$G$5+1)),"",OFFSET('Data Table'!$A550,2,Settings!$G$5+1))</f>
        <v/>
      </c>
      <c r="G555">
        <f t="shared" ca="1" si="8"/>
        <v>25.1</v>
      </c>
      <c r="H555">
        <f ca="1">IF(G555=-888,"",IF(G555=-999,Settings!$G$4,IF(AND($AA$6="Excluded",G555&gt;=Settings!$G$2),"",G555)))</f>
        <v>25.1</v>
      </c>
      <c r="I555">
        <f ca="1">IF(OR(G555=-999,G555=-888,AND($AA$6="Excluded",G555&gt;=Settings!$G$2)),"",G555)</f>
        <v>25.1</v>
      </c>
      <c r="O555" s="46"/>
    </row>
    <row r="556" spans="1:15" x14ac:dyDescent="0.2">
      <c r="A556" s="1">
        <v>551</v>
      </c>
      <c r="B556" t="str">
        <f>IF(ISERROR(MATCH(TRIM('Data Table'!D553),Settings!$G$15:$G$20,0)),TRIM('Data Table'!D553),LOOKUP(TRIM('Data Table'!D553),Settings!$G$15:$G$20,Settings!$H$15:$H$20))</f>
        <v>Wake</v>
      </c>
      <c r="C556" t="str">
        <f>IF('Data Table'!F553="","SS",IF('Data Table'!F553="SF","SD",TRIM('Data Table'!F553)))</f>
        <v>SS</v>
      </c>
      <c r="D556" s="106">
        <f ca="1">IF(ISBLANK(OFFSET('Data Table'!$A551,2,Settings!$G$5-1)),"",OFFSET('Data Table'!$A551,2,Settings!$G$5-1))</f>
        <v>8.52</v>
      </c>
      <c r="E556" s="106" t="str">
        <f ca="1">IF(ISBLANK(OFFSET('Data Table'!$A551,2,Settings!$G$5)),"",OFFSET('Data Table'!$A551,2,Settings!$G$5))</f>
        <v/>
      </c>
      <c r="F556" s="143" t="str">
        <f ca="1">IF(ISBLANK(OFFSET('Data Table'!$A551,2,Settings!$G$5+1)),"",OFFSET('Data Table'!$A551,2,Settings!$G$5+1))</f>
        <v/>
      </c>
      <c r="G556">
        <f t="shared" ca="1" si="8"/>
        <v>8.52</v>
      </c>
      <c r="H556">
        <f ca="1">IF(G556=-888,"",IF(G556=-999,Settings!$G$4,IF(AND($AA$6="Excluded",G556&gt;=Settings!$G$2),"",G556)))</f>
        <v>8.52</v>
      </c>
      <c r="I556">
        <f ca="1">IF(OR(G556=-999,G556=-888,AND($AA$6="Excluded",G556&gt;=Settings!$G$2)),"",G556)</f>
        <v>8.52</v>
      </c>
      <c r="O556" s="46"/>
    </row>
    <row r="557" spans="1:15" x14ac:dyDescent="0.2">
      <c r="A557" s="1">
        <v>552</v>
      </c>
      <c r="B557" t="str">
        <f>IF(ISERROR(MATCH(TRIM('Data Table'!D554),Settings!$G$15:$G$20,0)),TRIM('Data Table'!D554),LOOKUP(TRIM('Data Table'!D554),Settings!$G$15:$G$20,Settings!$H$15:$H$20))</f>
        <v>Wake</v>
      </c>
      <c r="C557" t="str">
        <f>IF('Data Table'!F554="","SS",IF('Data Table'!F554="SF","SD",TRIM('Data Table'!F554)))</f>
        <v>SS</v>
      </c>
      <c r="D557" s="106">
        <f ca="1">IF(ISBLANK(OFFSET('Data Table'!$A552,2,Settings!$G$5-1)),"",OFFSET('Data Table'!$A552,2,Settings!$G$5-1))</f>
        <v>5.73</v>
      </c>
      <c r="E557" s="106" t="str">
        <f ca="1">IF(ISBLANK(OFFSET('Data Table'!$A552,2,Settings!$G$5)),"",OFFSET('Data Table'!$A552,2,Settings!$G$5))</f>
        <v/>
      </c>
      <c r="F557" s="143" t="str">
        <f ca="1">IF(ISBLANK(OFFSET('Data Table'!$A552,2,Settings!$G$5+1)),"",OFFSET('Data Table'!$A552,2,Settings!$G$5+1))</f>
        <v/>
      </c>
      <c r="G557">
        <f t="shared" ca="1" si="8"/>
        <v>5.73</v>
      </c>
      <c r="H557">
        <f ca="1">IF(G557=-888,"",IF(G557=-999,Settings!$G$4,IF(AND($AA$6="Excluded",G557&gt;=Settings!$G$2),"",G557)))</f>
        <v>5.73</v>
      </c>
      <c r="I557">
        <f ca="1">IF(OR(G557=-999,G557=-888,AND($AA$6="Excluded",G557&gt;=Settings!$G$2)),"",G557)</f>
        <v>5.73</v>
      </c>
      <c r="O557" s="46"/>
    </row>
    <row r="558" spans="1:15" x14ac:dyDescent="0.2">
      <c r="A558" s="1">
        <v>553</v>
      </c>
      <c r="B558" t="str">
        <f>IF(ISERROR(MATCH(TRIM('Data Table'!D555),Settings!$G$15:$G$20,0)),TRIM('Data Table'!D555),LOOKUP(TRIM('Data Table'!D555),Settings!$G$15:$G$20,Settings!$H$15:$H$20))</f>
        <v>Wake</v>
      </c>
      <c r="C558" t="str">
        <f>IF('Data Table'!F555="","SS",IF('Data Table'!F555="SF","SD",TRIM('Data Table'!F555)))</f>
        <v>SS</v>
      </c>
      <c r="D558" s="106">
        <f ca="1">IF(ISBLANK(OFFSET('Data Table'!$A553,2,Settings!$G$5-1)),"",OFFSET('Data Table'!$A553,2,Settings!$G$5-1))</f>
        <v>5.98</v>
      </c>
      <c r="E558" s="106" t="str">
        <f ca="1">IF(ISBLANK(OFFSET('Data Table'!$A553,2,Settings!$G$5)),"",OFFSET('Data Table'!$A553,2,Settings!$G$5))</f>
        <v/>
      </c>
      <c r="F558" s="143" t="str">
        <f ca="1">IF(ISBLANK(OFFSET('Data Table'!$A553,2,Settings!$G$5+1)),"",OFFSET('Data Table'!$A553,2,Settings!$G$5+1))</f>
        <v/>
      </c>
      <c r="G558">
        <f t="shared" ca="1" si="8"/>
        <v>5.98</v>
      </c>
      <c r="H558">
        <f ca="1">IF(G558=-888,"",IF(G558=-999,Settings!$G$4,IF(AND($AA$6="Excluded",G558&gt;=Settings!$G$2),"",G558)))</f>
        <v>5.98</v>
      </c>
      <c r="I558">
        <f ca="1">IF(OR(G558=-999,G558=-888,AND($AA$6="Excluded",G558&gt;=Settings!$G$2)),"",G558)</f>
        <v>5.98</v>
      </c>
      <c r="O558" s="46"/>
    </row>
    <row r="559" spans="1:15" x14ac:dyDescent="0.2">
      <c r="A559" s="1">
        <v>554</v>
      </c>
      <c r="B559" t="str">
        <f>IF(ISERROR(MATCH(TRIM('Data Table'!D556),Settings!$G$15:$G$20,0)),TRIM('Data Table'!D556),LOOKUP(TRIM('Data Table'!D556),Settings!$G$15:$G$20,Settings!$H$15:$H$20))</f>
        <v>Wake</v>
      </c>
      <c r="C559" t="str">
        <f>IF('Data Table'!F556="","SS",IF('Data Table'!F556="SF","SD",TRIM('Data Table'!F556)))</f>
        <v>SS</v>
      </c>
      <c r="D559" s="106">
        <f ca="1">IF(ISBLANK(OFFSET('Data Table'!$A554,2,Settings!$G$5-1)),"",OFFSET('Data Table'!$A554,2,Settings!$G$5-1))</f>
        <v>8.3000000000000007</v>
      </c>
      <c r="E559" s="106" t="str">
        <f ca="1">IF(ISBLANK(OFFSET('Data Table'!$A554,2,Settings!$G$5)),"",OFFSET('Data Table'!$A554,2,Settings!$G$5))</f>
        <v/>
      </c>
      <c r="F559" s="143" t="str">
        <f ca="1">IF(ISBLANK(OFFSET('Data Table'!$A554,2,Settings!$G$5+1)),"",OFFSET('Data Table'!$A554,2,Settings!$G$5+1))</f>
        <v/>
      </c>
      <c r="G559">
        <f t="shared" ca="1" si="8"/>
        <v>8.3000000000000007</v>
      </c>
      <c r="H559">
        <f ca="1">IF(G559=-888,"",IF(G559=-999,Settings!$G$4,IF(AND($AA$6="Excluded",G559&gt;=Settings!$G$2),"",G559)))</f>
        <v>8.3000000000000007</v>
      </c>
      <c r="I559">
        <f ca="1">IF(OR(G559=-999,G559=-888,AND($AA$6="Excluded",G559&gt;=Settings!$G$2)),"",G559)</f>
        <v>8.3000000000000007</v>
      </c>
      <c r="O559" s="46"/>
    </row>
    <row r="560" spans="1:15" x14ac:dyDescent="0.2">
      <c r="A560" s="1">
        <v>555</v>
      </c>
      <c r="B560" t="str">
        <f>IF(ISERROR(MATCH(TRIM('Data Table'!D557),Settings!$G$15:$G$20,0)),TRIM('Data Table'!D557),LOOKUP(TRIM('Data Table'!D557),Settings!$G$15:$G$20,Settings!$H$15:$H$20))</f>
        <v>Mecklenburg</v>
      </c>
      <c r="C560" t="str">
        <f>IF('Data Table'!F557="","SS",IF('Data Table'!F557="SF","SD",TRIM('Data Table'!F557)))</f>
        <v>SD</v>
      </c>
      <c r="D560" s="106" t="str">
        <f ca="1">IF(ISBLANK(OFFSET('Data Table'!$A555,2,Settings!$G$5-1)),"",OFFSET('Data Table'!$A555,2,Settings!$G$5-1))</f>
        <v/>
      </c>
      <c r="E560" s="106">
        <f ca="1">IF(ISBLANK(OFFSET('Data Table'!$A555,2,Settings!$G$5)),"",OFFSET('Data Table'!$A555,2,Settings!$G$5))</f>
        <v>66.239999999999995</v>
      </c>
      <c r="F560" s="143" t="str">
        <f ca="1">IF(ISBLANK(OFFSET('Data Table'!$A555,2,Settings!$G$5+1)),"",OFFSET('Data Table'!$A555,2,Settings!$G$5+1))</f>
        <v/>
      </c>
      <c r="G560">
        <f t="shared" ca="1" si="8"/>
        <v>66.239999999999995</v>
      </c>
      <c r="H560">
        <f ca="1">IF(G560=-888,"",IF(G560=-999,Settings!$G$4,IF(AND($AA$6="Excluded",G560&gt;=Settings!$G$2),"",G560)))</f>
        <v>66.239999999999995</v>
      </c>
      <c r="I560">
        <f ca="1">IF(OR(G560=-999,G560=-888,AND($AA$6="Excluded",G560&gt;=Settings!$G$2)),"",G560)</f>
        <v>66.239999999999995</v>
      </c>
      <c r="O560" s="46"/>
    </row>
    <row r="561" spans="1:15" x14ac:dyDescent="0.2">
      <c r="A561" s="1">
        <v>556</v>
      </c>
      <c r="B561" t="str">
        <f>IF(ISERROR(MATCH(TRIM('Data Table'!D558),Settings!$G$15:$G$20,0)),TRIM('Data Table'!D558),LOOKUP(TRIM('Data Table'!D558),Settings!$G$15:$G$20,Settings!$H$15:$H$20))</f>
        <v>Mecklenburg</v>
      </c>
      <c r="C561" t="str">
        <f>IF('Data Table'!F558="","SS",IF('Data Table'!F558="SF","SD",TRIM('Data Table'!F558)))</f>
        <v>SD</v>
      </c>
      <c r="D561" s="106" t="str">
        <f ca="1">IF(ISBLANK(OFFSET('Data Table'!$A556,2,Settings!$G$5-1)),"",OFFSET('Data Table'!$A556,2,Settings!$G$5-1))</f>
        <v/>
      </c>
      <c r="E561" s="106">
        <f ca="1">IF(ISBLANK(OFFSET('Data Table'!$A556,2,Settings!$G$5)),"",OFFSET('Data Table'!$A556,2,Settings!$G$5))</f>
        <v>30.24</v>
      </c>
      <c r="F561" s="143" t="str">
        <f ca="1">IF(ISBLANK(OFFSET('Data Table'!$A556,2,Settings!$G$5+1)),"",OFFSET('Data Table'!$A556,2,Settings!$G$5+1))</f>
        <v/>
      </c>
      <c r="G561">
        <f t="shared" ca="1" si="8"/>
        <v>30.24</v>
      </c>
      <c r="H561">
        <f ca="1">IF(G561=-888,"",IF(G561=-999,Settings!$G$4,IF(AND($AA$6="Excluded",G561&gt;=Settings!$G$2),"",G561)))</f>
        <v>30.24</v>
      </c>
      <c r="I561">
        <f ca="1">IF(OR(G561=-999,G561=-888,AND($AA$6="Excluded",G561&gt;=Settings!$G$2)),"",G561)</f>
        <v>30.24</v>
      </c>
      <c r="O561" s="46"/>
    </row>
    <row r="562" spans="1:15" x14ac:dyDescent="0.2">
      <c r="A562" s="1">
        <v>557</v>
      </c>
      <c r="B562" t="str">
        <f>IF(ISERROR(MATCH(TRIM('Data Table'!D559),Settings!$G$15:$G$20,0)),TRIM('Data Table'!D559),LOOKUP(TRIM('Data Table'!D559),Settings!$G$15:$G$20,Settings!$H$15:$H$20))</f>
        <v>Mecklenburg</v>
      </c>
      <c r="C562" t="str">
        <f>IF('Data Table'!F559="","SS",IF('Data Table'!F559="SF","SD",TRIM('Data Table'!F559)))</f>
        <v>SB</v>
      </c>
      <c r="D562" s="106" t="str">
        <f ca="1">IF(ISBLANK(OFFSET('Data Table'!$A557,2,Settings!$G$5-1)),"",OFFSET('Data Table'!$A557,2,Settings!$G$5-1))</f>
        <v/>
      </c>
      <c r="E562" s="106">
        <f ca="1">IF(ISBLANK(OFFSET('Data Table'!$A557,2,Settings!$G$5)),"",OFFSET('Data Table'!$A557,2,Settings!$G$5))</f>
        <v>21.599999999999998</v>
      </c>
      <c r="F562" s="143" t="str">
        <f ca="1">IF(ISBLANK(OFFSET('Data Table'!$A557,2,Settings!$G$5+1)),"",OFFSET('Data Table'!$A557,2,Settings!$G$5+1))</f>
        <v/>
      </c>
      <c r="G562">
        <f t="shared" ca="1" si="8"/>
        <v>21.599999999999998</v>
      </c>
      <c r="H562">
        <f ca="1">IF(G562=-888,"",IF(G562=-999,Settings!$G$4,IF(AND($AA$6="Excluded",G562&gt;=Settings!$G$2),"",G562)))</f>
        <v>21.599999999999998</v>
      </c>
      <c r="I562">
        <f ca="1">IF(OR(G562=-999,G562=-888,AND($AA$6="Excluded",G562&gt;=Settings!$G$2)),"",G562)</f>
        <v>21.599999999999998</v>
      </c>
      <c r="O562" s="46"/>
    </row>
    <row r="563" spans="1:15" x14ac:dyDescent="0.2">
      <c r="A563" s="1">
        <v>558</v>
      </c>
      <c r="B563" t="str">
        <f>IF(ISERROR(MATCH(TRIM('Data Table'!D560),Settings!$G$15:$G$20,0)),TRIM('Data Table'!D560),LOOKUP(TRIM('Data Table'!D560),Settings!$G$15:$G$20,Settings!$H$15:$H$20))</f>
        <v>Buncombe</v>
      </c>
      <c r="C563" t="str">
        <f>IF('Data Table'!F560="","SS",IF('Data Table'!F560="SF","SD",TRIM('Data Table'!F560)))</f>
        <v>SS</v>
      </c>
      <c r="D563" s="106">
        <f ca="1">IF(ISBLANK(OFFSET('Data Table'!$A558,2,Settings!$G$5-1)),"",OFFSET('Data Table'!$A558,2,Settings!$G$5-1))</f>
        <v>500</v>
      </c>
      <c r="E563" s="106" t="str">
        <f ca="1">IF(ISBLANK(OFFSET('Data Table'!$A558,2,Settings!$G$5)),"",OFFSET('Data Table'!$A558,2,Settings!$G$5))</f>
        <v/>
      </c>
      <c r="F563" s="143" t="str">
        <f ca="1">IF(ISBLANK(OFFSET('Data Table'!$A558,2,Settings!$G$5+1)),"",OFFSET('Data Table'!$A558,2,Settings!$G$5+1))</f>
        <v/>
      </c>
      <c r="G563">
        <f t="shared" ca="1" si="8"/>
        <v>500</v>
      </c>
      <c r="H563">
        <f ca="1">IF(G563=-888,"",IF(G563=-999,Settings!$G$4,IF(AND($AA$6="Excluded",G563&gt;=Settings!$G$2),"",G563)))</f>
        <v>500</v>
      </c>
      <c r="I563">
        <f ca="1">IF(OR(G563=-999,G563=-888,AND($AA$6="Excluded",G563&gt;=Settings!$G$2)),"",G563)</f>
        <v>500</v>
      </c>
      <c r="O563" s="46"/>
    </row>
    <row r="564" spans="1:15" x14ac:dyDescent="0.2">
      <c r="A564" s="1">
        <v>559</v>
      </c>
      <c r="B564" t="str">
        <f>IF(ISERROR(MATCH(TRIM('Data Table'!D561),Settings!$G$15:$G$20,0)),TRIM('Data Table'!D561),LOOKUP(TRIM('Data Table'!D561),Settings!$G$15:$G$20,Settings!$H$15:$H$20))</f>
        <v>Buncombe</v>
      </c>
      <c r="C564" t="str">
        <f>IF('Data Table'!F561="","SS",IF('Data Table'!F561="SF","SD",TRIM('Data Table'!F561)))</f>
        <v>SB</v>
      </c>
      <c r="D564" s="106">
        <f ca="1">IF(ISBLANK(OFFSET('Data Table'!$A559,2,Settings!$G$5-1)),"",OFFSET('Data Table'!$A559,2,Settings!$G$5-1))</f>
        <v>16</v>
      </c>
      <c r="E564" s="106" t="str">
        <f ca="1">IF(ISBLANK(OFFSET('Data Table'!$A559,2,Settings!$G$5)),"",OFFSET('Data Table'!$A559,2,Settings!$G$5))</f>
        <v/>
      </c>
      <c r="F564" s="143" t="str">
        <f ca="1">IF(ISBLANK(OFFSET('Data Table'!$A559,2,Settings!$G$5+1)),"",OFFSET('Data Table'!$A559,2,Settings!$G$5+1))</f>
        <v/>
      </c>
      <c r="G564">
        <f t="shared" ca="1" si="8"/>
        <v>16</v>
      </c>
      <c r="H564">
        <f ca="1">IF(G564=-888,"",IF(G564=-999,Settings!$G$4,IF(AND($AA$6="Excluded",G564&gt;=Settings!$G$2),"",G564)))</f>
        <v>16</v>
      </c>
      <c r="I564">
        <f ca="1">IF(OR(G564=-999,G564=-888,AND($AA$6="Excluded",G564&gt;=Settings!$G$2)),"",G564)</f>
        <v>16</v>
      </c>
      <c r="O564" s="46"/>
    </row>
    <row r="565" spans="1:15" x14ac:dyDescent="0.2">
      <c r="A565" s="1">
        <v>560</v>
      </c>
      <c r="B565" t="str">
        <f>IF(ISERROR(MATCH(TRIM('Data Table'!D562),Settings!$G$15:$G$20,0)),TRIM('Data Table'!D562),LOOKUP(TRIM('Data Table'!D562),Settings!$G$15:$G$20,Settings!$H$15:$H$20))</f>
        <v>Buncombe</v>
      </c>
      <c r="C565" t="str">
        <f>IF('Data Table'!F562="","SS",IF('Data Table'!F562="SF","SD",TRIM('Data Table'!F562)))</f>
        <v>SD</v>
      </c>
      <c r="D565" s="106">
        <f ca="1">IF(ISBLANK(OFFSET('Data Table'!$A560,2,Settings!$G$5-1)),"",OFFSET('Data Table'!$A560,2,Settings!$G$5-1))</f>
        <v>21</v>
      </c>
      <c r="E565" s="106" t="str">
        <f ca="1">IF(ISBLANK(OFFSET('Data Table'!$A560,2,Settings!$G$5)),"",OFFSET('Data Table'!$A560,2,Settings!$G$5))</f>
        <v/>
      </c>
      <c r="F565" s="143" t="str">
        <f ca="1">IF(ISBLANK(OFFSET('Data Table'!$A560,2,Settings!$G$5+1)),"",OFFSET('Data Table'!$A560,2,Settings!$G$5+1))</f>
        <v/>
      </c>
      <c r="G565">
        <f t="shared" ca="1" si="8"/>
        <v>21</v>
      </c>
      <c r="H565">
        <f ca="1">IF(G565=-888,"",IF(G565=-999,Settings!$G$4,IF(AND($AA$6="Excluded",G565&gt;=Settings!$G$2),"",G565)))</f>
        <v>21</v>
      </c>
      <c r="I565">
        <f ca="1">IF(OR(G565=-999,G565=-888,AND($AA$6="Excluded",G565&gt;=Settings!$G$2)),"",G565)</f>
        <v>21</v>
      </c>
      <c r="O565" s="46"/>
    </row>
    <row r="566" spans="1:15" x14ac:dyDescent="0.2">
      <c r="A566" s="1">
        <v>561</v>
      </c>
      <c r="B566" t="str">
        <f>IF(ISERROR(MATCH(TRIM('Data Table'!D563),Settings!$G$15:$G$20,0)),TRIM('Data Table'!D563),LOOKUP(TRIM('Data Table'!D563),Settings!$G$15:$G$20,Settings!$H$15:$H$20))</f>
        <v>Lenoir</v>
      </c>
      <c r="C566" t="str">
        <f>IF('Data Table'!F563="","SS",IF('Data Table'!F563="SF","SD",TRIM('Data Table'!F563)))</f>
        <v>SS</v>
      </c>
      <c r="D566" s="106" t="str">
        <f ca="1">IF(ISBLANK(OFFSET('Data Table'!$A561,2,Settings!$G$5-1)),"",OFFSET('Data Table'!$A561,2,Settings!$G$5-1))</f>
        <v/>
      </c>
      <c r="E566" s="106" t="str">
        <f ca="1">IF(ISBLANK(OFFSET('Data Table'!$A561,2,Settings!$G$5)),"",OFFSET('Data Table'!$A561,2,Settings!$G$5))</f>
        <v/>
      </c>
      <c r="F566" s="143">
        <f ca="1">IF(ISBLANK(OFFSET('Data Table'!$A561,2,Settings!$G$5+1)),"",OFFSET('Data Table'!$A561,2,Settings!$G$5+1))</f>
        <v>1</v>
      </c>
      <c r="G566">
        <f t="shared" ca="1" si="8"/>
        <v>1</v>
      </c>
      <c r="H566">
        <f ca="1">IF(G566=-888,"",IF(G566=-999,Settings!$G$4,IF(AND($AA$6="Excluded",G566&gt;=Settings!$G$2),"",G566)))</f>
        <v>1</v>
      </c>
      <c r="I566">
        <f ca="1">IF(OR(G566=-999,G566=-888,AND($AA$6="Excluded",G566&gt;=Settings!$G$2)),"",G566)</f>
        <v>1</v>
      </c>
      <c r="O566" s="46"/>
    </row>
    <row r="567" spans="1:15" x14ac:dyDescent="0.2">
      <c r="A567" s="1">
        <v>562</v>
      </c>
      <c r="B567" t="str">
        <f>IF(ISERROR(MATCH(TRIM('Data Table'!D564),Settings!$G$15:$G$20,0)),TRIM('Data Table'!D564),LOOKUP(TRIM('Data Table'!D564),Settings!$G$15:$G$20,Settings!$H$15:$H$20))</f>
        <v>Forsyth</v>
      </c>
      <c r="C567" t="str">
        <f>IF('Data Table'!F564="","SS",IF('Data Table'!F564="SF","SD",TRIM('Data Table'!F564)))</f>
        <v>SD</v>
      </c>
      <c r="D567" s="106" t="str">
        <f ca="1">IF(ISBLANK(OFFSET('Data Table'!$A562,2,Settings!$G$5-1)),"",OFFSET('Data Table'!$A562,2,Settings!$G$5-1))</f>
        <v>#</v>
      </c>
      <c r="E567" s="106" t="str">
        <f ca="1">IF(ISBLANK(OFFSET('Data Table'!$A562,2,Settings!$G$5)),"",OFFSET('Data Table'!$A562,2,Settings!$G$5))</f>
        <v/>
      </c>
      <c r="F567" s="143" t="str">
        <f ca="1">IF(ISBLANK(OFFSET('Data Table'!$A562,2,Settings!$G$5+1)),"",OFFSET('Data Table'!$A562,2,Settings!$G$5+1))</f>
        <v/>
      </c>
      <c r="G567">
        <f t="shared" ca="1" si="8"/>
        <v>-999</v>
      </c>
      <c r="H567">
        <f ca="1">IF(G567=-888,"",IF(G567=-999,Settings!$G$4,IF(AND($AA$6="Excluded",G567&gt;=Settings!$G$2),"",G567)))</f>
        <v>5.0000000000000001E-3</v>
      </c>
      <c r="I567" t="str">
        <f ca="1">IF(OR(G567=-999,G567=-888,AND($AA$6="Excluded",G567&gt;=Settings!$G$2)),"",G567)</f>
        <v/>
      </c>
      <c r="O567" s="46"/>
    </row>
    <row r="568" spans="1:15" x14ac:dyDescent="0.2">
      <c r="A568" s="1">
        <v>563</v>
      </c>
      <c r="B568" t="str">
        <f>IF(ISERROR(MATCH(TRIM('Data Table'!D565),Settings!$G$15:$G$20,0)),TRIM('Data Table'!D565),LOOKUP(TRIM('Data Table'!D565),Settings!$G$15:$G$20,Settings!$H$15:$H$20))</f>
        <v>Forsyth</v>
      </c>
      <c r="C568" t="str">
        <f>IF('Data Table'!F565="","SS",IF('Data Table'!F565="SF","SD",TRIM('Data Table'!F565)))</f>
        <v>SS</v>
      </c>
      <c r="D568" s="106">
        <f ca="1">IF(ISBLANK(OFFSET('Data Table'!$A563,2,Settings!$G$5-1)),"",OFFSET('Data Table'!$A563,2,Settings!$G$5-1))</f>
        <v>12.5</v>
      </c>
      <c r="E568" s="106" t="str">
        <f ca="1">IF(ISBLANK(OFFSET('Data Table'!$A563,2,Settings!$G$5)),"",OFFSET('Data Table'!$A563,2,Settings!$G$5))</f>
        <v/>
      </c>
      <c r="F568" s="143" t="str">
        <f ca="1">IF(ISBLANK(OFFSET('Data Table'!$A563,2,Settings!$G$5+1)),"",OFFSET('Data Table'!$A563,2,Settings!$G$5+1))</f>
        <v/>
      </c>
      <c r="G568">
        <f t="shared" ca="1" si="8"/>
        <v>12.5</v>
      </c>
      <c r="H568">
        <f ca="1">IF(G568=-888,"",IF(G568=-999,Settings!$G$4,IF(AND($AA$6="Excluded",G568&gt;=Settings!$G$2),"",G568)))</f>
        <v>12.5</v>
      </c>
      <c r="I568">
        <f ca="1">IF(OR(G568=-999,G568=-888,AND($AA$6="Excluded",G568&gt;=Settings!$G$2)),"",G568)</f>
        <v>12.5</v>
      </c>
      <c r="O568" s="46"/>
    </row>
    <row r="569" spans="1:15" x14ac:dyDescent="0.2">
      <c r="A569" s="1">
        <v>564</v>
      </c>
      <c r="B569" t="str">
        <f>IF(ISERROR(MATCH(TRIM('Data Table'!D566),Settings!$G$15:$G$20,0)),TRIM('Data Table'!D566),LOOKUP(TRIM('Data Table'!D566),Settings!$G$15:$G$20,Settings!$H$15:$H$20))</f>
        <v>Mecklenburg</v>
      </c>
      <c r="C569" t="str">
        <f>IF('Data Table'!F566="","SS",IF('Data Table'!F566="SF","SD",TRIM('Data Table'!F566)))</f>
        <v>SD</v>
      </c>
      <c r="D569" s="106">
        <f ca="1">IF(ISBLANK(OFFSET('Data Table'!$A564,2,Settings!$G$5-1)),"",OFFSET('Data Table'!$A564,2,Settings!$G$5-1))</f>
        <v>20</v>
      </c>
      <c r="E569" s="106" t="str">
        <f ca="1">IF(ISBLANK(OFFSET('Data Table'!$A564,2,Settings!$G$5)),"",OFFSET('Data Table'!$A564,2,Settings!$G$5))</f>
        <v/>
      </c>
      <c r="F569" s="143" t="str">
        <f ca="1">IF(ISBLANK(OFFSET('Data Table'!$A564,2,Settings!$G$5+1)),"",OFFSET('Data Table'!$A564,2,Settings!$G$5+1))</f>
        <v/>
      </c>
      <c r="G569">
        <f t="shared" ca="1" si="8"/>
        <v>20</v>
      </c>
      <c r="H569">
        <f ca="1">IF(G569=-888,"",IF(G569=-999,Settings!$G$4,IF(AND($AA$6="Excluded",G569&gt;=Settings!$G$2),"",G569)))</f>
        <v>20</v>
      </c>
      <c r="I569">
        <f ca="1">IF(OR(G569=-999,G569=-888,AND($AA$6="Excluded",G569&gt;=Settings!$G$2)),"",G569)</f>
        <v>20</v>
      </c>
      <c r="O569" s="46"/>
    </row>
    <row r="570" spans="1:15" x14ac:dyDescent="0.2">
      <c r="A570" s="1">
        <v>565</v>
      </c>
      <c r="B570" t="str">
        <f>IF(ISERROR(MATCH(TRIM('Data Table'!D567),Settings!$G$15:$G$20,0)),TRIM('Data Table'!D567),LOOKUP(TRIM('Data Table'!D567),Settings!$G$15:$G$20,Settings!$H$15:$H$20))</f>
        <v>Mecklenburg</v>
      </c>
      <c r="C570" t="str">
        <f>IF('Data Table'!F567="","SS",IF('Data Table'!F567="SF","SD",TRIM('Data Table'!F567)))</f>
        <v>SS</v>
      </c>
      <c r="D570" s="106">
        <f ca="1">IF(ISBLANK(OFFSET('Data Table'!$A565,2,Settings!$G$5-1)),"",OFFSET('Data Table'!$A565,2,Settings!$G$5-1))</f>
        <v>420</v>
      </c>
      <c r="E570" s="106" t="str">
        <f ca="1">IF(ISBLANK(OFFSET('Data Table'!$A565,2,Settings!$G$5)),"",OFFSET('Data Table'!$A565,2,Settings!$G$5))</f>
        <v/>
      </c>
      <c r="F570" s="143" t="str">
        <f ca="1">IF(ISBLANK(OFFSET('Data Table'!$A565,2,Settings!$G$5+1)),"",OFFSET('Data Table'!$A565,2,Settings!$G$5+1))</f>
        <v/>
      </c>
      <c r="G570">
        <f t="shared" ca="1" si="8"/>
        <v>420</v>
      </c>
      <c r="H570">
        <f ca="1">IF(G570=-888,"",IF(G570=-999,Settings!$G$4,IF(AND($AA$6="Excluded",G570&gt;=Settings!$G$2),"",G570)))</f>
        <v>420</v>
      </c>
      <c r="I570">
        <f ca="1">IF(OR(G570=-999,G570=-888,AND($AA$6="Excluded",G570&gt;=Settings!$G$2)),"",G570)</f>
        <v>420</v>
      </c>
      <c r="O570" s="46"/>
    </row>
    <row r="571" spans="1:15" x14ac:dyDescent="0.2">
      <c r="A571" s="1">
        <v>566</v>
      </c>
      <c r="B571" t="str">
        <f>IF(ISERROR(MATCH(TRIM('Data Table'!D568),Settings!$G$15:$G$20,0)),TRIM('Data Table'!D568),LOOKUP(TRIM('Data Table'!D568),Settings!$G$15:$G$20,Settings!$H$15:$H$20))</f>
        <v>Mecklenburg</v>
      </c>
      <c r="C571" t="str">
        <f>IF('Data Table'!F568="","SS",IF('Data Table'!F568="SF","SD",TRIM('Data Table'!F568)))</f>
        <v>SS</v>
      </c>
      <c r="D571" s="106">
        <f ca="1">IF(ISBLANK(OFFSET('Data Table'!$A566,2,Settings!$G$5-1)),"",OFFSET('Data Table'!$A566,2,Settings!$G$5-1))</f>
        <v>120</v>
      </c>
      <c r="E571" s="106" t="str">
        <f ca="1">IF(ISBLANK(OFFSET('Data Table'!$A566,2,Settings!$G$5)),"",OFFSET('Data Table'!$A566,2,Settings!$G$5))</f>
        <v/>
      </c>
      <c r="F571" s="143" t="str">
        <f ca="1">IF(ISBLANK(OFFSET('Data Table'!$A566,2,Settings!$G$5+1)),"",OFFSET('Data Table'!$A566,2,Settings!$G$5+1))</f>
        <v/>
      </c>
      <c r="G571">
        <f t="shared" ca="1" si="8"/>
        <v>120</v>
      </c>
      <c r="H571">
        <f ca="1">IF(G571=-888,"",IF(G571=-999,Settings!$G$4,IF(AND($AA$6="Excluded",G571&gt;=Settings!$G$2),"",G571)))</f>
        <v>120</v>
      </c>
      <c r="I571">
        <f ca="1">IF(OR(G571=-999,G571=-888,AND($AA$6="Excluded",G571&gt;=Settings!$G$2)),"",G571)</f>
        <v>120</v>
      </c>
      <c r="O571" s="46"/>
    </row>
    <row r="572" spans="1:15" x14ac:dyDescent="0.2">
      <c r="A572" s="1">
        <v>567</v>
      </c>
      <c r="B572" t="str">
        <f>IF(ISERROR(MATCH(TRIM('Data Table'!D569),Settings!$G$15:$G$20,0)),TRIM('Data Table'!D569),LOOKUP(TRIM('Data Table'!D569),Settings!$G$15:$G$20,Settings!$H$15:$H$20))</f>
        <v>Transylvania</v>
      </c>
      <c r="C572" t="str">
        <f>IF('Data Table'!F569="","SS",IF('Data Table'!F569="SF","SD",TRIM('Data Table'!F569)))</f>
        <v>SD</v>
      </c>
      <c r="D572" s="106" t="str">
        <f ca="1">IF(ISBLANK(OFFSET('Data Table'!$A567,2,Settings!$G$5-1)),"",OFFSET('Data Table'!$A567,2,Settings!$G$5-1))</f>
        <v/>
      </c>
      <c r="E572" s="106" t="str">
        <f ca="1">IF(ISBLANK(OFFSET('Data Table'!$A567,2,Settings!$G$5)),"",OFFSET('Data Table'!$A567,2,Settings!$G$5))</f>
        <v/>
      </c>
      <c r="F572" s="143">
        <f ca="1">IF(ISBLANK(OFFSET('Data Table'!$A567,2,Settings!$G$5+1)),"",OFFSET('Data Table'!$A567,2,Settings!$G$5+1))</f>
        <v>9.8000000000000007</v>
      </c>
      <c r="G572">
        <f t="shared" ca="1" si="8"/>
        <v>9.8000000000000007</v>
      </c>
      <c r="H572">
        <f ca="1">IF(G572=-888,"",IF(G572=-999,Settings!$G$4,IF(AND($AA$6="Excluded",G572&gt;=Settings!$G$2),"",G572)))</f>
        <v>9.8000000000000007</v>
      </c>
      <c r="I572">
        <f ca="1">IF(OR(G572=-999,G572=-888,AND($AA$6="Excluded",G572&gt;=Settings!$G$2)),"",G572)</f>
        <v>9.8000000000000007</v>
      </c>
      <c r="O572" s="46"/>
    </row>
    <row r="573" spans="1:15" x14ac:dyDescent="0.2">
      <c r="A573" s="1">
        <v>568</v>
      </c>
      <c r="B573" t="str">
        <f>IF(ISERROR(MATCH(TRIM('Data Table'!D570),Settings!$G$15:$G$20,0)),TRIM('Data Table'!D570),LOOKUP(TRIM('Data Table'!D570),Settings!$G$15:$G$20,Settings!$H$15:$H$20))</f>
        <v>Transylvania</v>
      </c>
      <c r="C573" t="str">
        <f>IF('Data Table'!F570="","SS",IF('Data Table'!F570="SF","SD",TRIM('Data Table'!F570)))</f>
        <v>SS</v>
      </c>
      <c r="D573" s="106">
        <f ca="1">IF(ISBLANK(OFFSET('Data Table'!$A568,2,Settings!$G$5-1)),"",OFFSET('Data Table'!$A568,2,Settings!$G$5-1))</f>
        <v>29</v>
      </c>
      <c r="E573" s="106" t="str">
        <f ca="1">IF(ISBLANK(OFFSET('Data Table'!$A568,2,Settings!$G$5)),"",OFFSET('Data Table'!$A568,2,Settings!$G$5))</f>
        <v/>
      </c>
      <c r="F573" s="143" t="str">
        <f ca="1">IF(ISBLANK(OFFSET('Data Table'!$A568,2,Settings!$G$5+1)),"",OFFSET('Data Table'!$A568,2,Settings!$G$5+1))</f>
        <v/>
      </c>
      <c r="G573">
        <f t="shared" ca="1" si="8"/>
        <v>29</v>
      </c>
      <c r="H573">
        <f ca="1">IF(G573=-888,"",IF(G573=-999,Settings!$G$4,IF(AND($AA$6="Excluded",G573&gt;=Settings!$G$2),"",G573)))</f>
        <v>29</v>
      </c>
      <c r="I573">
        <f ca="1">IF(OR(G573=-999,G573=-888,AND($AA$6="Excluded",G573&gt;=Settings!$G$2)),"",G573)</f>
        <v>29</v>
      </c>
      <c r="O573" s="46"/>
    </row>
    <row r="574" spans="1:15" x14ac:dyDescent="0.2">
      <c r="A574" s="1">
        <v>569</v>
      </c>
      <c r="B574" t="str">
        <f>IF(ISERROR(MATCH(TRIM('Data Table'!D571),Settings!$G$15:$G$20,0)),TRIM('Data Table'!D571),LOOKUP(TRIM('Data Table'!D571),Settings!$G$15:$G$20,Settings!$H$15:$H$20))</f>
        <v>Craven</v>
      </c>
      <c r="C574" t="str">
        <f>IF('Data Table'!F571="","SS",IF('Data Table'!F571="SF","SD",TRIM('Data Table'!F571)))</f>
        <v>SB</v>
      </c>
      <c r="D574" s="106" t="str">
        <f ca="1">IF(ISBLANK(OFFSET('Data Table'!$A569,2,Settings!$G$5-1)),"",OFFSET('Data Table'!$A569,2,Settings!$G$5-1))</f>
        <v/>
      </c>
      <c r="E574" s="106">
        <f ca="1">IF(ISBLANK(OFFSET('Data Table'!$A569,2,Settings!$G$5)),"",OFFSET('Data Table'!$A569,2,Settings!$G$5))</f>
        <v>34.56</v>
      </c>
      <c r="F574" s="143" t="str">
        <f ca="1">IF(ISBLANK(OFFSET('Data Table'!$A569,2,Settings!$G$5+1)),"",OFFSET('Data Table'!$A569,2,Settings!$G$5+1))</f>
        <v/>
      </c>
      <c r="G574">
        <f t="shared" ca="1" si="8"/>
        <v>34.56</v>
      </c>
      <c r="H574">
        <f ca="1">IF(G574=-888,"",IF(G574=-999,Settings!$G$4,IF(AND($AA$6="Excluded",G574&gt;=Settings!$G$2),"",G574)))</f>
        <v>34.56</v>
      </c>
      <c r="I574">
        <f ca="1">IF(OR(G574=-999,G574=-888,AND($AA$6="Excluded",G574&gt;=Settings!$G$2)),"",G574)</f>
        <v>34.56</v>
      </c>
      <c r="O574" s="46"/>
    </row>
    <row r="575" spans="1:15" x14ac:dyDescent="0.2">
      <c r="A575" s="1">
        <v>570</v>
      </c>
      <c r="B575" t="str">
        <f>IF(ISERROR(MATCH(TRIM('Data Table'!D572),Settings!$G$15:$G$20,0)),TRIM('Data Table'!D572),LOOKUP(TRIM('Data Table'!D572),Settings!$G$15:$G$20,Settings!$H$15:$H$20))</f>
        <v>Craven</v>
      </c>
      <c r="C575" t="str">
        <f>IF('Data Table'!F572="","SS",IF('Data Table'!F572="SF","SD",TRIM('Data Table'!F572)))</f>
        <v>SS</v>
      </c>
      <c r="D575" s="106" t="str">
        <f ca="1">IF(ISBLANK(OFFSET('Data Table'!$A570,2,Settings!$G$5-1)),"",OFFSET('Data Table'!$A570,2,Settings!$G$5-1))</f>
        <v/>
      </c>
      <c r="E575" s="106" t="str">
        <f ca="1">IF(ISBLANK(OFFSET('Data Table'!$A570,2,Settings!$G$5)),"",OFFSET('Data Table'!$A570,2,Settings!$G$5))</f>
        <v/>
      </c>
      <c r="F575" s="143">
        <f ca="1">IF(ISBLANK(OFFSET('Data Table'!$A570,2,Settings!$G$5+1)),"",OFFSET('Data Table'!$A570,2,Settings!$G$5+1))</f>
        <v>8</v>
      </c>
      <c r="G575">
        <f t="shared" ca="1" si="8"/>
        <v>8</v>
      </c>
      <c r="H575">
        <f ca="1">IF(G575=-888,"",IF(G575=-999,Settings!$G$4,IF(AND($AA$6="Excluded",G575&gt;=Settings!$G$2),"",G575)))</f>
        <v>8</v>
      </c>
      <c r="I575">
        <f ca="1">IF(OR(G575=-999,G575=-888,AND($AA$6="Excluded",G575&gt;=Settings!$G$2)),"",G575)</f>
        <v>8</v>
      </c>
      <c r="O575" s="46"/>
    </row>
    <row r="576" spans="1:15" x14ac:dyDescent="0.2">
      <c r="A576" s="1">
        <v>571</v>
      </c>
      <c r="B576" t="str">
        <f>IF(ISERROR(MATCH(TRIM('Data Table'!D573),Settings!$G$15:$G$20,0)),TRIM('Data Table'!D573),LOOKUP(TRIM('Data Table'!D573),Settings!$G$15:$G$20,Settings!$H$15:$H$20))</f>
        <v>Craven</v>
      </c>
      <c r="C576" t="str">
        <f>IF('Data Table'!F573="","SS",IF('Data Table'!F573="SF","SD",TRIM('Data Table'!F573)))</f>
        <v>SD</v>
      </c>
      <c r="D576" s="106" t="str">
        <f ca="1">IF(ISBLANK(OFFSET('Data Table'!$A571,2,Settings!$G$5-1)),"",OFFSET('Data Table'!$A571,2,Settings!$G$5-1))</f>
        <v/>
      </c>
      <c r="E576" s="106" t="str">
        <f ca="1">IF(ISBLANK(OFFSET('Data Table'!$A571,2,Settings!$G$5)),"",OFFSET('Data Table'!$A571,2,Settings!$G$5))</f>
        <v/>
      </c>
      <c r="F576" s="143">
        <f ca="1">IF(ISBLANK(OFFSET('Data Table'!$A571,2,Settings!$G$5+1)),"",OFFSET('Data Table'!$A571,2,Settings!$G$5+1))</f>
        <v>3</v>
      </c>
      <c r="G576">
        <f t="shared" ca="1" si="8"/>
        <v>3</v>
      </c>
      <c r="H576">
        <f ca="1">IF(G576=-888,"",IF(G576=-999,Settings!$G$4,IF(AND($AA$6="Excluded",G576&gt;=Settings!$G$2),"",G576)))</f>
        <v>3</v>
      </c>
      <c r="I576">
        <f ca="1">IF(OR(G576=-999,G576=-888,AND($AA$6="Excluded",G576&gt;=Settings!$G$2)),"",G576)</f>
        <v>3</v>
      </c>
      <c r="O576" s="46"/>
    </row>
    <row r="577" spans="1:15" x14ac:dyDescent="0.2">
      <c r="A577" s="1">
        <v>572</v>
      </c>
      <c r="B577" t="str">
        <f>IF(ISERROR(MATCH(TRIM('Data Table'!D574),Settings!$G$15:$G$20,0)),TRIM('Data Table'!D574),LOOKUP(TRIM('Data Table'!D574),Settings!$G$15:$G$20,Settings!$H$15:$H$20))</f>
        <v>Brunswick</v>
      </c>
      <c r="C577" t="str">
        <f>IF('Data Table'!F574="","SS",IF('Data Table'!F574="SF","SD",TRIM('Data Table'!F574)))</f>
        <v>SS</v>
      </c>
      <c r="D577" s="106">
        <f ca="1">IF(ISBLANK(OFFSET('Data Table'!$A572,2,Settings!$G$5-1)),"",OFFSET('Data Table'!$A572,2,Settings!$G$5-1))</f>
        <v>124</v>
      </c>
      <c r="E577" s="106" t="str">
        <f ca="1">IF(ISBLANK(OFFSET('Data Table'!$A572,2,Settings!$G$5)),"",OFFSET('Data Table'!$A572,2,Settings!$G$5))</f>
        <v/>
      </c>
      <c r="F577" s="143" t="str">
        <f ca="1">IF(ISBLANK(OFFSET('Data Table'!$A572,2,Settings!$G$5+1)),"",OFFSET('Data Table'!$A572,2,Settings!$G$5+1))</f>
        <v/>
      </c>
      <c r="G577">
        <f t="shared" ca="1" si="8"/>
        <v>124</v>
      </c>
      <c r="H577">
        <f ca="1">IF(G577=-888,"",IF(G577=-999,Settings!$G$4,IF(AND($AA$6="Excluded",G577&gt;=Settings!$G$2),"",G577)))</f>
        <v>124</v>
      </c>
      <c r="I577">
        <f ca="1">IF(OR(G577=-999,G577=-888,AND($AA$6="Excluded",G577&gt;=Settings!$G$2)),"",G577)</f>
        <v>124</v>
      </c>
      <c r="O577" s="46"/>
    </row>
    <row r="578" spans="1:15" x14ac:dyDescent="0.2">
      <c r="A578" s="1">
        <v>573</v>
      </c>
      <c r="B578" t="str">
        <f>IF(ISERROR(MATCH(TRIM('Data Table'!D575),Settings!$G$15:$G$20,0)),TRIM('Data Table'!D575),LOOKUP(TRIM('Data Table'!D575),Settings!$G$15:$G$20,Settings!$H$15:$H$20))</f>
        <v>Brunswick</v>
      </c>
      <c r="C578" t="str">
        <f>IF('Data Table'!F575="","SS",IF('Data Table'!F575="SF","SD",TRIM('Data Table'!F575)))</f>
        <v>SS</v>
      </c>
      <c r="D578" s="106">
        <f ca="1">IF(ISBLANK(OFFSET('Data Table'!$A573,2,Settings!$G$5-1)),"",OFFSET('Data Table'!$A573,2,Settings!$G$5-1))</f>
        <v>36</v>
      </c>
      <c r="E578" s="106" t="str">
        <f ca="1">IF(ISBLANK(OFFSET('Data Table'!$A573,2,Settings!$G$5)),"",OFFSET('Data Table'!$A573,2,Settings!$G$5))</f>
        <v/>
      </c>
      <c r="F578" s="143" t="str">
        <f ca="1">IF(ISBLANK(OFFSET('Data Table'!$A573,2,Settings!$G$5+1)),"",OFFSET('Data Table'!$A573,2,Settings!$G$5+1))</f>
        <v/>
      </c>
      <c r="G578">
        <f t="shared" ca="1" si="8"/>
        <v>36</v>
      </c>
      <c r="H578">
        <f ca="1">IF(G578=-888,"",IF(G578=-999,Settings!$G$4,IF(AND($AA$6="Excluded",G578&gt;=Settings!$G$2),"",G578)))</f>
        <v>36</v>
      </c>
      <c r="I578">
        <f ca="1">IF(OR(G578=-999,G578=-888,AND($AA$6="Excluded",G578&gt;=Settings!$G$2)),"",G578)</f>
        <v>36</v>
      </c>
      <c r="O578" s="46"/>
    </row>
    <row r="579" spans="1:15" x14ac:dyDescent="0.2">
      <c r="A579" s="1">
        <v>574</v>
      </c>
      <c r="B579" t="str">
        <f>IF(ISERROR(MATCH(TRIM('Data Table'!D576),Settings!$G$15:$G$20,0)),TRIM('Data Table'!D576),LOOKUP(TRIM('Data Table'!D576),Settings!$G$15:$G$20,Settings!$H$15:$H$20))</f>
        <v>Brunswick</v>
      </c>
      <c r="C579" t="str">
        <f>IF('Data Table'!F576="","SS",IF('Data Table'!F576="SF","SD",TRIM('Data Table'!F576)))</f>
        <v>SD</v>
      </c>
      <c r="D579" s="106">
        <f ca="1">IF(ISBLANK(OFFSET('Data Table'!$A574,2,Settings!$G$5-1)),"",OFFSET('Data Table'!$A574,2,Settings!$G$5-1))</f>
        <v>8</v>
      </c>
      <c r="E579" s="106" t="str">
        <f ca="1">IF(ISBLANK(OFFSET('Data Table'!$A574,2,Settings!$G$5)),"",OFFSET('Data Table'!$A574,2,Settings!$G$5))</f>
        <v/>
      </c>
      <c r="F579" s="143" t="str">
        <f ca="1">IF(ISBLANK(OFFSET('Data Table'!$A574,2,Settings!$G$5+1)),"",OFFSET('Data Table'!$A574,2,Settings!$G$5+1))</f>
        <v/>
      </c>
      <c r="G579">
        <f t="shared" ca="1" si="8"/>
        <v>8</v>
      </c>
      <c r="H579">
        <f ca="1">IF(G579=-888,"",IF(G579=-999,Settings!$G$4,IF(AND($AA$6="Excluded",G579&gt;=Settings!$G$2),"",G579)))</f>
        <v>8</v>
      </c>
      <c r="I579">
        <f ca="1">IF(OR(G579=-999,G579=-888,AND($AA$6="Excluded",G579&gt;=Settings!$G$2)),"",G579)</f>
        <v>8</v>
      </c>
      <c r="O579" s="46"/>
    </row>
    <row r="580" spans="1:15" x14ac:dyDescent="0.2">
      <c r="A580" s="1">
        <v>575</v>
      </c>
      <c r="B580" t="str">
        <f>IF(ISERROR(MATCH(TRIM('Data Table'!D577),Settings!$G$15:$G$20,0)),TRIM('Data Table'!D577),LOOKUP(TRIM('Data Table'!D577),Settings!$G$15:$G$20,Settings!$H$15:$H$20))</f>
        <v>Iredell</v>
      </c>
      <c r="C580" t="str">
        <f>IF('Data Table'!F577="","SS",IF('Data Table'!F577="SF","SD",TRIM('Data Table'!F577)))</f>
        <v>SS</v>
      </c>
      <c r="D580" s="106">
        <f ca="1">IF(ISBLANK(OFFSET('Data Table'!$A575,2,Settings!$G$5-1)),"",OFFSET('Data Table'!$A575,2,Settings!$G$5-1))</f>
        <v>48</v>
      </c>
      <c r="E580" s="106" t="str">
        <f ca="1">IF(ISBLANK(OFFSET('Data Table'!$A575,2,Settings!$G$5)),"",OFFSET('Data Table'!$A575,2,Settings!$G$5))</f>
        <v/>
      </c>
      <c r="F580" s="143" t="str">
        <f ca="1">IF(ISBLANK(OFFSET('Data Table'!$A575,2,Settings!$G$5+1)),"",OFFSET('Data Table'!$A575,2,Settings!$G$5+1))</f>
        <v/>
      </c>
      <c r="G580">
        <f t="shared" ca="1" si="8"/>
        <v>48</v>
      </c>
      <c r="H580">
        <f ca="1">IF(G580=-888,"",IF(G580=-999,Settings!$G$4,IF(AND($AA$6="Excluded",G580&gt;=Settings!$G$2),"",G580)))</f>
        <v>48</v>
      </c>
      <c r="I580">
        <f ca="1">IF(OR(G580=-999,G580=-888,AND($AA$6="Excluded",G580&gt;=Settings!$G$2)),"",G580)</f>
        <v>48</v>
      </c>
      <c r="O580" s="46"/>
    </row>
    <row r="581" spans="1:15" x14ac:dyDescent="0.2">
      <c r="A581" s="1">
        <v>576</v>
      </c>
      <c r="B581" t="str">
        <f>IF(ISERROR(MATCH(TRIM('Data Table'!D578),Settings!$G$15:$G$20,0)),TRIM('Data Table'!D578),LOOKUP(TRIM('Data Table'!D578),Settings!$G$15:$G$20,Settings!$H$15:$H$20))</f>
        <v>Iredell</v>
      </c>
      <c r="C581" t="str">
        <f>IF('Data Table'!F578="","SS",IF('Data Table'!F578="SF","SD",TRIM('Data Table'!F578)))</f>
        <v>SB</v>
      </c>
      <c r="D581" s="106">
        <f ca="1">IF(ISBLANK(OFFSET('Data Table'!$A576,2,Settings!$G$5-1)),"",OFFSET('Data Table'!$A576,2,Settings!$G$5-1))</f>
        <v>35</v>
      </c>
      <c r="E581" s="106" t="str">
        <f ca="1">IF(ISBLANK(OFFSET('Data Table'!$A576,2,Settings!$G$5)),"",OFFSET('Data Table'!$A576,2,Settings!$G$5))</f>
        <v/>
      </c>
      <c r="F581" s="143" t="str">
        <f ca="1">IF(ISBLANK(OFFSET('Data Table'!$A576,2,Settings!$G$5+1)),"",OFFSET('Data Table'!$A576,2,Settings!$G$5+1))</f>
        <v/>
      </c>
      <c r="G581">
        <f t="shared" ca="1" si="8"/>
        <v>35</v>
      </c>
      <c r="H581">
        <f ca="1">IF(G581=-888,"",IF(G581=-999,Settings!$G$4,IF(AND($AA$6="Excluded",G581&gt;=Settings!$G$2),"",G581)))</f>
        <v>35</v>
      </c>
      <c r="I581">
        <f ca="1">IF(OR(G581=-999,G581=-888,AND($AA$6="Excluded",G581&gt;=Settings!$G$2)),"",G581)</f>
        <v>35</v>
      </c>
      <c r="O581" s="46"/>
    </row>
    <row r="582" spans="1:15" x14ac:dyDescent="0.2">
      <c r="A582" s="1">
        <v>577</v>
      </c>
      <c r="B582" t="str">
        <f>IF(ISERROR(MATCH(TRIM('Data Table'!D579),Settings!$G$15:$G$20,0)),TRIM('Data Table'!D579),LOOKUP(TRIM('Data Table'!D579),Settings!$G$15:$G$20,Settings!$H$15:$H$20))</f>
        <v>Beaufort</v>
      </c>
      <c r="C582" t="str">
        <f>IF('Data Table'!F579="","SS",IF('Data Table'!F579="SF","SD",TRIM('Data Table'!F579)))</f>
        <v>SS</v>
      </c>
      <c r="D582" s="106">
        <f ca="1">IF(ISBLANK(OFFSET('Data Table'!$A577,2,Settings!$G$5-1)),"",OFFSET('Data Table'!$A577,2,Settings!$G$5-1))</f>
        <v>16.100000000000001</v>
      </c>
      <c r="E582" s="106" t="str">
        <f ca="1">IF(ISBLANK(OFFSET('Data Table'!$A577,2,Settings!$G$5)),"",OFFSET('Data Table'!$A577,2,Settings!$G$5))</f>
        <v/>
      </c>
      <c r="F582" s="143" t="str">
        <f ca="1">IF(ISBLANK(OFFSET('Data Table'!$A577,2,Settings!$G$5+1)),"",OFFSET('Data Table'!$A577,2,Settings!$G$5+1))</f>
        <v/>
      </c>
      <c r="G582">
        <f t="shared" ref="G582:G645" ca="1" si="9">IF(COUNTIF(SOIL_DEPTH,C582)=0,"",IF(OR(D582="#",E582="#",F582="#"),-999,IF(AND(D582="",E582="",F582=""),-888,IF(COUNT(D582:F582)&gt;1,"ERROR",MAX(D582:F582)))))</f>
        <v>16.100000000000001</v>
      </c>
      <c r="H582">
        <f ca="1">IF(G582=-888,"",IF(G582=-999,Settings!$G$4,IF(AND($AA$6="Excluded",G582&gt;=Settings!$G$2),"",G582)))</f>
        <v>16.100000000000001</v>
      </c>
      <c r="I582">
        <f ca="1">IF(OR(G582=-999,G582=-888,AND($AA$6="Excluded",G582&gt;=Settings!$G$2)),"",G582)</f>
        <v>16.100000000000001</v>
      </c>
      <c r="O582" s="46"/>
    </row>
    <row r="583" spans="1:15" x14ac:dyDescent="0.2">
      <c r="A583" s="1">
        <v>578</v>
      </c>
      <c r="B583" t="str">
        <f>IF(ISERROR(MATCH(TRIM('Data Table'!D580),Settings!$G$15:$G$20,0)),TRIM('Data Table'!D580),LOOKUP(TRIM('Data Table'!D580),Settings!$G$15:$G$20,Settings!$H$15:$H$20))</f>
        <v>Beaufort</v>
      </c>
      <c r="C583" t="str">
        <f>IF('Data Table'!F580="","SS",IF('Data Table'!F580="SF","SD",TRIM('Data Table'!F580)))</f>
        <v>SS</v>
      </c>
      <c r="D583" s="106">
        <f ca="1">IF(ISBLANK(OFFSET('Data Table'!$A578,2,Settings!$G$5-1)),"",OFFSET('Data Table'!$A578,2,Settings!$G$5-1))</f>
        <v>7.5</v>
      </c>
      <c r="E583" s="106" t="str">
        <f ca="1">IF(ISBLANK(OFFSET('Data Table'!$A578,2,Settings!$G$5)),"",OFFSET('Data Table'!$A578,2,Settings!$G$5))</f>
        <v/>
      </c>
      <c r="F583" s="143" t="str">
        <f ca="1">IF(ISBLANK(OFFSET('Data Table'!$A578,2,Settings!$G$5+1)),"",OFFSET('Data Table'!$A578,2,Settings!$G$5+1))</f>
        <v/>
      </c>
      <c r="G583">
        <f t="shared" ca="1" si="9"/>
        <v>7.5</v>
      </c>
      <c r="H583">
        <f ca="1">IF(G583=-888,"",IF(G583=-999,Settings!$G$4,IF(AND($AA$6="Excluded",G583&gt;=Settings!$G$2),"",G583)))</f>
        <v>7.5</v>
      </c>
      <c r="I583">
        <f ca="1">IF(OR(G583=-999,G583=-888,AND($AA$6="Excluded",G583&gt;=Settings!$G$2)),"",G583)</f>
        <v>7.5</v>
      </c>
      <c r="O583" s="46"/>
    </row>
    <row r="584" spans="1:15" x14ac:dyDescent="0.2">
      <c r="A584" s="1">
        <v>579</v>
      </c>
      <c r="B584" t="str">
        <f>IF(ISERROR(MATCH(TRIM('Data Table'!D581),Settings!$G$15:$G$20,0)),TRIM('Data Table'!D581),LOOKUP(TRIM('Data Table'!D581),Settings!$G$15:$G$20,Settings!$H$15:$H$20))</f>
        <v>Beaufort</v>
      </c>
      <c r="C584" t="str">
        <f>IF('Data Table'!F581="","SS",IF('Data Table'!F581="SF","SD",TRIM('Data Table'!F581)))</f>
        <v>SB</v>
      </c>
      <c r="D584" s="106">
        <f ca="1">IF(ISBLANK(OFFSET('Data Table'!$A579,2,Settings!$G$5-1)),"",OFFSET('Data Table'!$A579,2,Settings!$G$5-1))</f>
        <v>3.6</v>
      </c>
      <c r="E584" s="106" t="str">
        <f ca="1">IF(ISBLANK(OFFSET('Data Table'!$A579,2,Settings!$G$5)),"",OFFSET('Data Table'!$A579,2,Settings!$G$5))</f>
        <v/>
      </c>
      <c r="F584" s="143" t="str">
        <f ca="1">IF(ISBLANK(OFFSET('Data Table'!$A579,2,Settings!$G$5+1)),"",OFFSET('Data Table'!$A579,2,Settings!$G$5+1))</f>
        <v/>
      </c>
      <c r="G584">
        <f t="shared" ca="1" si="9"/>
        <v>3.6</v>
      </c>
      <c r="H584">
        <f ca="1">IF(G584=-888,"",IF(G584=-999,Settings!$G$4,IF(AND($AA$6="Excluded",G584&gt;=Settings!$G$2),"",G584)))</f>
        <v>3.6</v>
      </c>
      <c r="I584">
        <f ca="1">IF(OR(G584=-999,G584=-888,AND($AA$6="Excluded",G584&gt;=Settings!$G$2)),"",G584)</f>
        <v>3.6</v>
      </c>
      <c r="O584" s="46"/>
    </row>
    <row r="585" spans="1:15" x14ac:dyDescent="0.2">
      <c r="A585" s="1">
        <v>580</v>
      </c>
      <c r="B585" t="str">
        <f>IF(ISERROR(MATCH(TRIM('Data Table'!D582),Settings!$G$15:$G$20,0)),TRIM('Data Table'!D582),LOOKUP(TRIM('Data Table'!D582),Settings!$G$15:$G$20,Settings!$H$15:$H$20))</f>
        <v>Beaufort</v>
      </c>
      <c r="C585" t="str">
        <f>IF('Data Table'!F582="","SS",IF('Data Table'!F582="SF","SD",TRIM('Data Table'!F582)))</f>
        <v>SB</v>
      </c>
      <c r="D585" s="106">
        <f ca="1">IF(ISBLANK(OFFSET('Data Table'!$A580,2,Settings!$G$5-1)),"",OFFSET('Data Table'!$A580,2,Settings!$G$5-1))</f>
        <v>2.2000000000000002</v>
      </c>
      <c r="E585" s="106" t="str">
        <f ca="1">IF(ISBLANK(OFFSET('Data Table'!$A580,2,Settings!$G$5)),"",OFFSET('Data Table'!$A580,2,Settings!$G$5))</f>
        <v/>
      </c>
      <c r="F585" s="143" t="str">
        <f ca="1">IF(ISBLANK(OFFSET('Data Table'!$A580,2,Settings!$G$5+1)),"",OFFSET('Data Table'!$A580,2,Settings!$G$5+1))</f>
        <v/>
      </c>
      <c r="G585">
        <f t="shared" ca="1" si="9"/>
        <v>2.2000000000000002</v>
      </c>
      <c r="H585">
        <f ca="1">IF(G585=-888,"",IF(G585=-999,Settings!$G$4,IF(AND($AA$6="Excluded",G585&gt;=Settings!$G$2),"",G585)))</f>
        <v>2.2000000000000002</v>
      </c>
      <c r="I585">
        <f ca="1">IF(OR(G585=-999,G585=-888,AND($AA$6="Excluded",G585&gt;=Settings!$G$2)),"",G585)</f>
        <v>2.2000000000000002</v>
      </c>
      <c r="O585" s="46"/>
    </row>
    <row r="586" spans="1:15" x14ac:dyDescent="0.2">
      <c r="A586" s="1">
        <v>581</v>
      </c>
      <c r="B586" t="str">
        <f>IF(ISERROR(MATCH(TRIM('Data Table'!D583),Settings!$G$15:$G$20,0)),TRIM('Data Table'!D583),LOOKUP(TRIM('Data Table'!D583),Settings!$G$15:$G$20,Settings!$H$15:$H$20))</f>
        <v>Beaufort</v>
      </c>
      <c r="C586" t="str">
        <f>IF('Data Table'!F583="","SS",IF('Data Table'!F583="SF","SD",TRIM('Data Table'!F583)))</f>
        <v>SD</v>
      </c>
      <c r="D586" s="106">
        <f ca="1">IF(ISBLANK(OFFSET('Data Table'!$A581,2,Settings!$G$5-1)),"",OFFSET('Data Table'!$A581,2,Settings!$G$5-1))</f>
        <v>23.2</v>
      </c>
      <c r="E586" s="106" t="str">
        <f ca="1">IF(ISBLANK(OFFSET('Data Table'!$A581,2,Settings!$G$5)),"",OFFSET('Data Table'!$A581,2,Settings!$G$5))</f>
        <v/>
      </c>
      <c r="F586" s="143" t="str">
        <f ca="1">IF(ISBLANK(OFFSET('Data Table'!$A581,2,Settings!$G$5+1)),"",OFFSET('Data Table'!$A581,2,Settings!$G$5+1))</f>
        <v/>
      </c>
      <c r="G586">
        <f t="shared" ca="1" si="9"/>
        <v>23.2</v>
      </c>
      <c r="H586">
        <f ca="1">IF(G586=-888,"",IF(G586=-999,Settings!$G$4,IF(AND($AA$6="Excluded",G586&gt;=Settings!$G$2),"",G586)))</f>
        <v>23.2</v>
      </c>
      <c r="I586">
        <f ca="1">IF(OR(G586=-999,G586=-888,AND($AA$6="Excluded",G586&gt;=Settings!$G$2)),"",G586)</f>
        <v>23.2</v>
      </c>
      <c r="O586" s="46"/>
    </row>
    <row r="587" spans="1:15" x14ac:dyDescent="0.2">
      <c r="A587" s="1">
        <v>582</v>
      </c>
      <c r="B587" t="str">
        <f>IF(ISERROR(MATCH(TRIM('Data Table'!D584),Settings!$G$15:$G$20,0)),TRIM('Data Table'!D584),LOOKUP(TRIM('Data Table'!D584),Settings!$G$15:$G$20,Settings!$H$15:$H$20))</f>
        <v>Mecklenburg</v>
      </c>
      <c r="C587" t="str">
        <f>IF('Data Table'!F584="","SS",IF('Data Table'!F584="SF","SD",TRIM('Data Table'!F584)))</f>
        <v>SS</v>
      </c>
      <c r="D587" s="106" t="str">
        <f ca="1">IF(ISBLANK(OFFSET('Data Table'!$A582,2,Settings!$G$5-1)),"",OFFSET('Data Table'!$A582,2,Settings!$G$5-1))</f>
        <v>#</v>
      </c>
      <c r="E587" s="106" t="str">
        <f ca="1">IF(ISBLANK(OFFSET('Data Table'!$A582,2,Settings!$G$5)),"",OFFSET('Data Table'!$A582,2,Settings!$G$5))</f>
        <v/>
      </c>
      <c r="F587" s="143" t="str">
        <f ca="1">IF(ISBLANK(OFFSET('Data Table'!$A582,2,Settings!$G$5+1)),"",OFFSET('Data Table'!$A582,2,Settings!$G$5+1))</f>
        <v/>
      </c>
      <c r="G587">
        <f t="shared" ca="1" si="9"/>
        <v>-999</v>
      </c>
      <c r="H587">
        <f ca="1">IF(G587=-888,"",IF(G587=-999,Settings!$G$4,IF(AND($AA$6="Excluded",G587&gt;=Settings!$G$2),"",G587)))</f>
        <v>5.0000000000000001E-3</v>
      </c>
      <c r="I587" t="str">
        <f ca="1">IF(OR(G587=-999,G587=-888,AND($AA$6="Excluded",G587&gt;=Settings!$G$2)),"",G587)</f>
        <v/>
      </c>
      <c r="O587" s="46"/>
    </row>
    <row r="588" spans="1:15" x14ac:dyDescent="0.2">
      <c r="A588" s="1">
        <v>583</v>
      </c>
      <c r="B588" t="str">
        <f>IF(ISERROR(MATCH(TRIM('Data Table'!D585),Settings!$G$15:$G$20,0)),TRIM('Data Table'!D585),LOOKUP(TRIM('Data Table'!D585),Settings!$G$15:$G$20,Settings!$H$15:$H$20))</f>
        <v>Mecklenburg</v>
      </c>
      <c r="C588" t="str">
        <f>IF('Data Table'!F585="","SS",IF('Data Table'!F585="SF","SD",TRIM('Data Table'!F585)))</f>
        <v>SB</v>
      </c>
      <c r="D588" s="106" t="str">
        <f ca="1">IF(ISBLANK(OFFSET('Data Table'!$A583,2,Settings!$G$5-1)),"",OFFSET('Data Table'!$A583,2,Settings!$G$5-1))</f>
        <v>#</v>
      </c>
      <c r="E588" s="106" t="str">
        <f ca="1">IF(ISBLANK(OFFSET('Data Table'!$A583,2,Settings!$G$5)),"",OFFSET('Data Table'!$A583,2,Settings!$G$5))</f>
        <v/>
      </c>
      <c r="F588" s="143" t="str">
        <f ca="1">IF(ISBLANK(OFFSET('Data Table'!$A583,2,Settings!$G$5+1)),"",OFFSET('Data Table'!$A583,2,Settings!$G$5+1))</f>
        <v/>
      </c>
      <c r="G588">
        <f t="shared" ca="1" si="9"/>
        <v>-999</v>
      </c>
      <c r="H588">
        <f ca="1">IF(G588=-888,"",IF(G588=-999,Settings!$G$4,IF(AND($AA$6="Excluded",G588&gt;=Settings!$G$2),"",G588)))</f>
        <v>5.0000000000000001E-3</v>
      </c>
      <c r="I588" t="str">
        <f ca="1">IF(OR(G588=-999,G588=-888,AND($AA$6="Excluded",G588&gt;=Settings!$G$2)),"",G588)</f>
        <v/>
      </c>
      <c r="O588" s="46"/>
    </row>
    <row r="589" spans="1:15" x14ac:dyDescent="0.2">
      <c r="A589" s="1">
        <v>584</v>
      </c>
      <c r="B589" t="str">
        <f>IF(ISERROR(MATCH(TRIM('Data Table'!D586),Settings!$G$15:$G$20,0)),TRIM('Data Table'!D586),LOOKUP(TRIM('Data Table'!D586),Settings!$G$15:$G$20,Settings!$H$15:$H$20))</f>
        <v>Mecklenburg</v>
      </c>
      <c r="C589" t="str">
        <f>IF('Data Table'!F586="","SS",IF('Data Table'!F586="SF","SD",TRIM('Data Table'!F586)))</f>
        <v>SB</v>
      </c>
      <c r="D589" s="106" t="str">
        <f ca="1">IF(ISBLANK(OFFSET('Data Table'!$A584,2,Settings!$G$5-1)),"",OFFSET('Data Table'!$A584,2,Settings!$G$5-1))</f>
        <v>#</v>
      </c>
      <c r="E589" s="106" t="str">
        <f ca="1">IF(ISBLANK(OFFSET('Data Table'!$A584,2,Settings!$G$5)),"",OFFSET('Data Table'!$A584,2,Settings!$G$5))</f>
        <v/>
      </c>
      <c r="F589" s="143" t="str">
        <f ca="1">IF(ISBLANK(OFFSET('Data Table'!$A584,2,Settings!$G$5+1)),"",OFFSET('Data Table'!$A584,2,Settings!$G$5+1))</f>
        <v/>
      </c>
      <c r="G589">
        <f t="shared" ca="1" si="9"/>
        <v>-999</v>
      </c>
      <c r="H589">
        <f ca="1">IF(G589=-888,"",IF(G589=-999,Settings!$G$4,IF(AND($AA$6="Excluded",G589&gt;=Settings!$G$2),"",G589)))</f>
        <v>5.0000000000000001E-3</v>
      </c>
      <c r="I589" t="str">
        <f ca="1">IF(OR(G589=-999,G589=-888,AND($AA$6="Excluded",G589&gt;=Settings!$G$2)),"",G589)</f>
        <v/>
      </c>
      <c r="O589" s="46"/>
    </row>
    <row r="590" spans="1:15" x14ac:dyDescent="0.2">
      <c r="A590" s="1">
        <v>585</v>
      </c>
      <c r="B590" t="str">
        <f>IF(ISERROR(MATCH(TRIM('Data Table'!D587),Settings!$G$15:$G$20,0)),TRIM('Data Table'!D587),LOOKUP(TRIM('Data Table'!D587),Settings!$G$15:$G$20,Settings!$H$15:$H$20))</f>
        <v>Mecklenburg</v>
      </c>
      <c r="C590" t="str">
        <f>IF('Data Table'!F587="","SS",IF('Data Table'!F587="SF","SD",TRIM('Data Table'!F587)))</f>
        <v>SS</v>
      </c>
      <c r="D590" s="106" t="str">
        <f ca="1">IF(ISBLANK(OFFSET('Data Table'!$A585,2,Settings!$G$5-1)),"",OFFSET('Data Table'!$A585,2,Settings!$G$5-1))</f>
        <v>#</v>
      </c>
      <c r="E590" s="106" t="str">
        <f ca="1">IF(ISBLANK(OFFSET('Data Table'!$A585,2,Settings!$G$5)),"",OFFSET('Data Table'!$A585,2,Settings!$G$5))</f>
        <v/>
      </c>
      <c r="F590" s="143" t="str">
        <f ca="1">IF(ISBLANK(OFFSET('Data Table'!$A585,2,Settings!$G$5+1)),"",OFFSET('Data Table'!$A585,2,Settings!$G$5+1))</f>
        <v/>
      </c>
      <c r="G590">
        <f t="shared" ca="1" si="9"/>
        <v>-999</v>
      </c>
      <c r="H590">
        <f ca="1">IF(G590=-888,"",IF(G590=-999,Settings!$G$4,IF(AND($AA$6="Excluded",G590&gt;=Settings!$G$2),"",G590)))</f>
        <v>5.0000000000000001E-3</v>
      </c>
      <c r="I590" t="str">
        <f ca="1">IF(OR(G590=-999,G590=-888,AND($AA$6="Excluded",G590&gt;=Settings!$G$2)),"",G590)</f>
        <v/>
      </c>
      <c r="O590" s="46"/>
    </row>
    <row r="591" spans="1:15" x14ac:dyDescent="0.2">
      <c r="A591" s="1">
        <v>586</v>
      </c>
      <c r="B591" t="str">
        <f>IF(ISERROR(MATCH(TRIM('Data Table'!D588),Settings!$G$15:$G$20,0)),TRIM('Data Table'!D588),LOOKUP(TRIM('Data Table'!D588),Settings!$G$15:$G$20,Settings!$H$15:$H$20))</f>
        <v>Mecklenburg</v>
      </c>
      <c r="C591" t="str">
        <f>IF('Data Table'!F588="","SS",IF('Data Table'!F588="SF","SD",TRIM('Data Table'!F588)))</f>
        <v>SS</v>
      </c>
      <c r="D591" s="106" t="str">
        <f ca="1">IF(ISBLANK(OFFSET('Data Table'!$A586,2,Settings!$G$5-1)),"",OFFSET('Data Table'!$A586,2,Settings!$G$5-1))</f>
        <v>#</v>
      </c>
      <c r="E591" s="106" t="str">
        <f ca="1">IF(ISBLANK(OFFSET('Data Table'!$A586,2,Settings!$G$5)),"",OFFSET('Data Table'!$A586,2,Settings!$G$5))</f>
        <v/>
      </c>
      <c r="F591" s="143" t="str">
        <f ca="1">IF(ISBLANK(OFFSET('Data Table'!$A586,2,Settings!$G$5+1)),"",OFFSET('Data Table'!$A586,2,Settings!$G$5+1))</f>
        <v/>
      </c>
      <c r="G591">
        <f t="shared" ca="1" si="9"/>
        <v>-999</v>
      </c>
      <c r="H591">
        <f ca="1">IF(G591=-888,"",IF(G591=-999,Settings!$G$4,IF(AND($AA$6="Excluded",G591&gt;=Settings!$G$2),"",G591)))</f>
        <v>5.0000000000000001E-3</v>
      </c>
      <c r="I591" t="str">
        <f ca="1">IF(OR(G591=-999,G591=-888,AND($AA$6="Excluded",G591&gt;=Settings!$G$2)),"",G591)</f>
        <v/>
      </c>
      <c r="O591" s="46"/>
    </row>
    <row r="592" spans="1:15" x14ac:dyDescent="0.2">
      <c r="A592" s="1">
        <v>587</v>
      </c>
      <c r="B592" t="str">
        <f>IF(ISERROR(MATCH(TRIM('Data Table'!D589),Settings!$G$15:$G$20,0)),TRIM('Data Table'!D589),LOOKUP(TRIM('Data Table'!D589),Settings!$G$15:$G$20,Settings!$H$15:$H$20))</f>
        <v>Henderson</v>
      </c>
      <c r="C592" t="str">
        <f>IF('Data Table'!F589="","SS",IF('Data Table'!F589="SF","SD",TRIM('Data Table'!F589)))</f>
        <v>SS</v>
      </c>
      <c r="D592" s="106" t="str">
        <f ca="1">IF(ISBLANK(OFFSET('Data Table'!$A587,2,Settings!$G$5-1)),"",OFFSET('Data Table'!$A587,2,Settings!$G$5-1))</f>
        <v/>
      </c>
      <c r="E592" s="106">
        <f ca="1">IF(ISBLANK(OFFSET('Data Table'!$A587,2,Settings!$G$5)),"",OFFSET('Data Table'!$A587,2,Settings!$G$5))</f>
        <v>50.4</v>
      </c>
      <c r="F592" s="143" t="str">
        <f ca="1">IF(ISBLANK(OFFSET('Data Table'!$A587,2,Settings!$G$5+1)),"",OFFSET('Data Table'!$A587,2,Settings!$G$5+1))</f>
        <v/>
      </c>
      <c r="G592">
        <f t="shared" ca="1" si="9"/>
        <v>50.4</v>
      </c>
      <c r="H592">
        <f ca="1">IF(G592=-888,"",IF(G592=-999,Settings!$G$4,IF(AND($AA$6="Excluded",G592&gt;=Settings!$G$2),"",G592)))</f>
        <v>50.4</v>
      </c>
      <c r="I592">
        <f ca="1">IF(OR(G592=-999,G592=-888,AND($AA$6="Excluded",G592&gt;=Settings!$G$2)),"",G592)</f>
        <v>50.4</v>
      </c>
      <c r="O592" s="46"/>
    </row>
    <row r="593" spans="1:15" x14ac:dyDescent="0.2">
      <c r="A593" s="1">
        <v>588</v>
      </c>
      <c r="B593" t="str">
        <f>IF(ISERROR(MATCH(TRIM('Data Table'!D590),Settings!$G$15:$G$20,0)),TRIM('Data Table'!D590),LOOKUP(TRIM('Data Table'!D590),Settings!$G$15:$G$20,Settings!$H$15:$H$20))</f>
        <v>Henderson</v>
      </c>
      <c r="C593" t="str">
        <f>IF('Data Table'!F590="","SS",IF('Data Table'!F590="SF","SD",TRIM('Data Table'!F590)))</f>
        <v>SB</v>
      </c>
      <c r="D593" s="106" t="str">
        <f ca="1">IF(ISBLANK(OFFSET('Data Table'!$A588,2,Settings!$G$5-1)),"",OFFSET('Data Table'!$A588,2,Settings!$G$5-1))</f>
        <v/>
      </c>
      <c r="E593" s="106">
        <f ca="1">IF(ISBLANK(OFFSET('Data Table'!$A588,2,Settings!$G$5)),"",OFFSET('Data Table'!$A588,2,Settings!$G$5))</f>
        <v>5.6159999999999997</v>
      </c>
      <c r="F593" s="143" t="str">
        <f ca="1">IF(ISBLANK(OFFSET('Data Table'!$A588,2,Settings!$G$5+1)),"",OFFSET('Data Table'!$A588,2,Settings!$G$5+1))</f>
        <v/>
      </c>
      <c r="G593">
        <f t="shared" ca="1" si="9"/>
        <v>5.6159999999999997</v>
      </c>
      <c r="H593">
        <f ca="1">IF(G593=-888,"",IF(G593=-999,Settings!$G$4,IF(AND($AA$6="Excluded",G593&gt;=Settings!$G$2),"",G593)))</f>
        <v>5.6159999999999997</v>
      </c>
      <c r="I593">
        <f ca="1">IF(OR(G593=-999,G593=-888,AND($AA$6="Excluded",G593&gt;=Settings!$G$2)),"",G593)</f>
        <v>5.6159999999999997</v>
      </c>
      <c r="O593" s="46"/>
    </row>
    <row r="594" spans="1:15" x14ac:dyDescent="0.2">
      <c r="A594" s="1">
        <v>589</v>
      </c>
      <c r="B594" t="str">
        <f>IF(ISERROR(MATCH(TRIM('Data Table'!D591),Settings!$G$15:$G$20,0)),TRIM('Data Table'!D591),LOOKUP(TRIM('Data Table'!D591),Settings!$G$15:$G$20,Settings!$H$15:$H$20))</f>
        <v>Henderson</v>
      </c>
      <c r="C594" t="str">
        <f>IF('Data Table'!F591="","SS",IF('Data Table'!F591="SF","SD",TRIM('Data Table'!F591)))</f>
        <v>SD</v>
      </c>
      <c r="D594" s="106" t="str">
        <f ca="1">IF(ISBLANK(OFFSET('Data Table'!$A589,2,Settings!$G$5-1)),"",OFFSET('Data Table'!$A589,2,Settings!$G$5-1))</f>
        <v/>
      </c>
      <c r="E594" s="106">
        <f ca="1">IF(ISBLANK(OFFSET('Data Table'!$A589,2,Settings!$G$5)),"",OFFSET('Data Table'!$A589,2,Settings!$G$5))</f>
        <v>3.5999999999999996</v>
      </c>
      <c r="F594" s="143" t="str">
        <f ca="1">IF(ISBLANK(OFFSET('Data Table'!$A589,2,Settings!$G$5+1)),"",OFFSET('Data Table'!$A589,2,Settings!$G$5+1))</f>
        <v/>
      </c>
      <c r="G594">
        <f t="shared" ca="1" si="9"/>
        <v>3.5999999999999996</v>
      </c>
      <c r="H594">
        <f ca="1">IF(G594=-888,"",IF(G594=-999,Settings!$G$4,IF(AND($AA$6="Excluded",G594&gt;=Settings!$G$2),"",G594)))</f>
        <v>3.5999999999999996</v>
      </c>
      <c r="I594">
        <f ca="1">IF(OR(G594=-999,G594=-888,AND($AA$6="Excluded",G594&gt;=Settings!$G$2)),"",G594)</f>
        <v>3.5999999999999996</v>
      </c>
      <c r="O594" s="46"/>
    </row>
    <row r="595" spans="1:15" x14ac:dyDescent="0.2">
      <c r="A595" s="1">
        <v>590</v>
      </c>
      <c r="B595" t="str">
        <f>IF(ISERROR(MATCH(TRIM('Data Table'!D592),Settings!$G$15:$G$20,0)),TRIM('Data Table'!D592),LOOKUP(TRIM('Data Table'!D592),Settings!$G$15:$G$20,Settings!$H$15:$H$20))</f>
        <v>Henderson</v>
      </c>
      <c r="C595" t="str">
        <f>IF('Data Table'!F592="","SS",IF('Data Table'!F592="SF","SD",TRIM('Data Table'!F592)))</f>
        <v>SB</v>
      </c>
      <c r="D595" s="106" t="str">
        <f ca="1">IF(ISBLANK(OFFSET('Data Table'!$A590,2,Settings!$G$5-1)),"",OFFSET('Data Table'!$A590,2,Settings!$G$5-1))</f>
        <v/>
      </c>
      <c r="E595" s="106">
        <f ca="1">IF(ISBLANK(OFFSET('Data Table'!$A590,2,Settings!$G$5)),"",OFFSET('Data Table'!$A590,2,Settings!$G$5))</f>
        <v>20.16</v>
      </c>
      <c r="F595" s="143" t="str">
        <f ca="1">IF(ISBLANK(OFFSET('Data Table'!$A590,2,Settings!$G$5+1)),"",OFFSET('Data Table'!$A590,2,Settings!$G$5+1))</f>
        <v/>
      </c>
      <c r="G595">
        <f t="shared" ca="1" si="9"/>
        <v>20.16</v>
      </c>
      <c r="H595">
        <f ca="1">IF(G595=-888,"",IF(G595=-999,Settings!$G$4,IF(AND($AA$6="Excluded",G595&gt;=Settings!$G$2),"",G595)))</f>
        <v>20.16</v>
      </c>
      <c r="I595">
        <f ca="1">IF(OR(G595=-999,G595=-888,AND($AA$6="Excluded",G595&gt;=Settings!$G$2)),"",G595)</f>
        <v>20.16</v>
      </c>
      <c r="O595" s="46"/>
    </row>
    <row r="596" spans="1:15" x14ac:dyDescent="0.2">
      <c r="A596" s="1">
        <v>591</v>
      </c>
      <c r="B596" t="str">
        <f>IF(ISERROR(MATCH(TRIM('Data Table'!D593),Settings!$G$15:$G$20,0)),TRIM('Data Table'!D593),LOOKUP(TRIM('Data Table'!D593),Settings!$G$15:$G$20,Settings!$H$15:$H$20))</f>
        <v>Henderson</v>
      </c>
      <c r="C596" t="str">
        <f>IF('Data Table'!F593="","SS",IF('Data Table'!F593="SF","SD",TRIM('Data Table'!F593)))</f>
        <v>SD</v>
      </c>
      <c r="D596" s="106" t="str">
        <f ca="1">IF(ISBLANK(OFFSET('Data Table'!$A591,2,Settings!$G$5-1)),"",OFFSET('Data Table'!$A591,2,Settings!$G$5-1))</f>
        <v/>
      </c>
      <c r="E596" s="106">
        <f ca="1">IF(ISBLANK(OFFSET('Data Table'!$A591,2,Settings!$G$5)),"",OFFSET('Data Table'!$A591,2,Settings!$G$5))</f>
        <v>4.7519999999999998</v>
      </c>
      <c r="F596" s="143" t="str">
        <f ca="1">IF(ISBLANK(OFFSET('Data Table'!$A591,2,Settings!$G$5+1)),"",OFFSET('Data Table'!$A591,2,Settings!$G$5+1))</f>
        <v/>
      </c>
      <c r="G596">
        <f t="shared" ca="1" si="9"/>
        <v>4.7519999999999998</v>
      </c>
      <c r="H596">
        <f ca="1">IF(G596=-888,"",IF(G596=-999,Settings!$G$4,IF(AND($AA$6="Excluded",G596&gt;=Settings!$G$2),"",G596)))</f>
        <v>4.7519999999999998</v>
      </c>
      <c r="I596">
        <f ca="1">IF(OR(G596=-999,G596=-888,AND($AA$6="Excluded",G596&gt;=Settings!$G$2)),"",G596)</f>
        <v>4.7519999999999998</v>
      </c>
      <c r="O596" s="46"/>
    </row>
    <row r="597" spans="1:15" x14ac:dyDescent="0.2">
      <c r="A597" s="1">
        <v>592</v>
      </c>
      <c r="B597" t="str">
        <f>IF(ISERROR(MATCH(TRIM('Data Table'!D594),Settings!$G$15:$G$20,0)),TRIM('Data Table'!D594),LOOKUP(TRIM('Data Table'!D594),Settings!$G$15:$G$20,Settings!$H$15:$H$20))</f>
        <v>Person</v>
      </c>
      <c r="C597" t="str">
        <f>IF('Data Table'!F594="","SS",IF('Data Table'!F594="SF","SD",TRIM('Data Table'!F594)))</f>
        <v>SB</v>
      </c>
      <c r="D597" s="106">
        <f ca="1">IF(ISBLANK(OFFSET('Data Table'!$A592,2,Settings!$G$5-1)),"",OFFSET('Data Table'!$A592,2,Settings!$G$5-1))</f>
        <v>14</v>
      </c>
      <c r="E597" s="106" t="str">
        <f ca="1">IF(ISBLANK(OFFSET('Data Table'!$A592,2,Settings!$G$5)),"",OFFSET('Data Table'!$A592,2,Settings!$G$5))</f>
        <v/>
      </c>
      <c r="F597" s="143" t="str">
        <f ca="1">IF(ISBLANK(OFFSET('Data Table'!$A592,2,Settings!$G$5+1)),"",OFFSET('Data Table'!$A592,2,Settings!$G$5+1))</f>
        <v/>
      </c>
      <c r="G597">
        <f t="shared" ca="1" si="9"/>
        <v>14</v>
      </c>
      <c r="H597">
        <f ca="1">IF(G597=-888,"",IF(G597=-999,Settings!$G$4,IF(AND($AA$6="Excluded",G597&gt;=Settings!$G$2),"",G597)))</f>
        <v>14</v>
      </c>
      <c r="I597">
        <f ca="1">IF(OR(G597=-999,G597=-888,AND($AA$6="Excluded",G597&gt;=Settings!$G$2)),"",G597)</f>
        <v>14</v>
      </c>
      <c r="O597" s="46"/>
    </row>
    <row r="598" spans="1:15" x14ac:dyDescent="0.2">
      <c r="A598" s="1">
        <v>593</v>
      </c>
      <c r="B598" t="str">
        <f>IF(ISERROR(MATCH(TRIM('Data Table'!D595),Settings!$G$15:$G$20,0)),TRIM('Data Table'!D595),LOOKUP(TRIM('Data Table'!D595),Settings!$G$15:$G$20,Settings!$H$15:$H$20))</f>
        <v>Person</v>
      </c>
      <c r="C598" t="str">
        <f>IF('Data Table'!F595="","SS",IF('Data Table'!F595="SF","SD",TRIM('Data Table'!F595)))</f>
        <v>SB</v>
      </c>
      <c r="D598" s="106">
        <f ca="1">IF(ISBLANK(OFFSET('Data Table'!$A593,2,Settings!$G$5-1)),"",OFFSET('Data Table'!$A593,2,Settings!$G$5-1))</f>
        <v>9.9</v>
      </c>
      <c r="E598" s="106" t="str">
        <f ca="1">IF(ISBLANK(OFFSET('Data Table'!$A593,2,Settings!$G$5)),"",OFFSET('Data Table'!$A593,2,Settings!$G$5))</f>
        <v/>
      </c>
      <c r="F598" s="143" t="str">
        <f ca="1">IF(ISBLANK(OFFSET('Data Table'!$A593,2,Settings!$G$5+1)),"",OFFSET('Data Table'!$A593,2,Settings!$G$5+1))</f>
        <v/>
      </c>
      <c r="G598">
        <f t="shared" ca="1" si="9"/>
        <v>9.9</v>
      </c>
      <c r="H598">
        <f ca="1">IF(G598=-888,"",IF(G598=-999,Settings!$G$4,IF(AND($AA$6="Excluded",G598&gt;=Settings!$G$2),"",G598)))</f>
        <v>9.9</v>
      </c>
      <c r="I598">
        <f ca="1">IF(OR(G598=-999,G598=-888,AND($AA$6="Excluded",G598&gt;=Settings!$G$2)),"",G598)</f>
        <v>9.9</v>
      </c>
      <c r="O598" s="46"/>
    </row>
    <row r="599" spans="1:15" x14ac:dyDescent="0.2">
      <c r="A599" s="1">
        <v>594</v>
      </c>
      <c r="B599" t="str">
        <f>IF(ISERROR(MATCH(TRIM('Data Table'!D596),Settings!$G$15:$G$20,0)),TRIM('Data Table'!D596),LOOKUP(TRIM('Data Table'!D596),Settings!$G$15:$G$20,Settings!$H$15:$H$20))</f>
        <v>Wake</v>
      </c>
      <c r="C599" t="str">
        <f>IF('Data Table'!F596="","SS",IF('Data Table'!F596="SF","SD",TRIM('Data Table'!F596)))</f>
        <v>SD</v>
      </c>
      <c r="D599" s="106" t="str">
        <f ca="1">IF(ISBLANK(OFFSET('Data Table'!$A594,2,Settings!$G$5-1)),"",OFFSET('Data Table'!$A594,2,Settings!$G$5-1))</f>
        <v>#</v>
      </c>
      <c r="E599" s="106" t="str">
        <f ca="1">IF(ISBLANK(OFFSET('Data Table'!$A594,2,Settings!$G$5)),"",OFFSET('Data Table'!$A594,2,Settings!$G$5))</f>
        <v/>
      </c>
      <c r="F599" s="143" t="str">
        <f ca="1">IF(ISBLANK(OFFSET('Data Table'!$A594,2,Settings!$G$5+1)),"",OFFSET('Data Table'!$A594,2,Settings!$G$5+1))</f>
        <v/>
      </c>
      <c r="G599">
        <f t="shared" ca="1" si="9"/>
        <v>-999</v>
      </c>
      <c r="H599">
        <f ca="1">IF(G599=-888,"",IF(G599=-999,Settings!$G$4,IF(AND($AA$6="Excluded",G599&gt;=Settings!$G$2),"",G599)))</f>
        <v>5.0000000000000001E-3</v>
      </c>
      <c r="I599" t="str">
        <f ca="1">IF(OR(G599=-999,G599=-888,AND($AA$6="Excluded",G599&gt;=Settings!$G$2)),"",G599)</f>
        <v/>
      </c>
      <c r="O599" s="46"/>
    </row>
    <row r="600" spans="1:15" x14ac:dyDescent="0.2">
      <c r="A600" s="1">
        <v>595</v>
      </c>
      <c r="B600" t="str">
        <f>IF(ISERROR(MATCH(TRIM('Data Table'!D597),Settings!$G$15:$G$20,0)),TRIM('Data Table'!D597),LOOKUP(TRIM('Data Table'!D597),Settings!$G$15:$G$20,Settings!$H$15:$H$20))</f>
        <v>Johnston</v>
      </c>
      <c r="C600" t="str">
        <f>IF('Data Table'!F597="","SS",IF('Data Table'!F597="SF","SD",TRIM('Data Table'!F597)))</f>
        <v>SS</v>
      </c>
      <c r="D600" s="106">
        <f ca="1">IF(ISBLANK(OFFSET('Data Table'!$A595,2,Settings!$G$5-1)),"",OFFSET('Data Table'!$A595,2,Settings!$G$5-1))</f>
        <v>310</v>
      </c>
      <c r="E600" s="106" t="str">
        <f ca="1">IF(ISBLANK(OFFSET('Data Table'!$A595,2,Settings!$G$5)),"",OFFSET('Data Table'!$A595,2,Settings!$G$5))</f>
        <v/>
      </c>
      <c r="F600" s="143" t="str">
        <f ca="1">IF(ISBLANK(OFFSET('Data Table'!$A595,2,Settings!$G$5+1)),"",OFFSET('Data Table'!$A595,2,Settings!$G$5+1))</f>
        <v/>
      </c>
      <c r="G600">
        <f t="shared" ca="1" si="9"/>
        <v>310</v>
      </c>
      <c r="H600">
        <f ca="1">IF(G600=-888,"",IF(G600=-999,Settings!$G$4,IF(AND($AA$6="Excluded",G600&gt;=Settings!$G$2),"",G600)))</f>
        <v>310</v>
      </c>
      <c r="I600">
        <f ca="1">IF(OR(G600=-999,G600=-888,AND($AA$6="Excluded",G600&gt;=Settings!$G$2)),"",G600)</f>
        <v>310</v>
      </c>
      <c r="O600" s="46"/>
    </row>
    <row r="601" spans="1:15" x14ac:dyDescent="0.2">
      <c r="A601" s="1">
        <v>596</v>
      </c>
      <c r="B601" t="str">
        <f>IF(ISERROR(MATCH(TRIM('Data Table'!D598),Settings!$G$15:$G$20,0)),TRIM('Data Table'!D598),LOOKUP(TRIM('Data Table'!D598),Settings!$G$15:$G$20,Settings!$H$15:$H$20))</f>
        <v>Johnston</v>
      </c>
      <c r="C601" t="str">
        <f>IF('Data Table'!F598="","SS",IF('Data Table'!F598="SF","SD",TRIM('Data Table'!F598)))</f>
        <v>SS</v>
      </c>
      <c r="D601" s="106" t="str">
        <f ca="1">IF(ISBLANK(OFFSET('Data Table'!$A596,2,Settings!$G$5-1)),"",OFFSET('Data Table'!$A596,2,Settings!$G$5-1))</f>
        <v>#</v>
      </c>
      <c r="E601" s="106" t="str">
        <f ca="1">IF(ISBLANK(OFFSET('Data Table'!$A596,2,Settings!$G$5)),"",OFFSET('Data Table'!$A596,2,Settings!$G$5))</f>
        <v/>
      </c>
      <c r="F601" s="143" t="str">
        <f ca="1">IF(ISBLANK(OFFSET('Data Table'!$A596,2,Settings!$G$5+1)),"",OFFSET('Data Table'!$A596,2,Settings!$G$5+1))</f>
        <v/>
      </c>
      <c r="G601">
        <f t="shared" ca="1" si="9"/>
        <v>-999</v>
      </c>
      <c r="H601">
        <f ca="1">IF(G601=-888,"",IF(G601=-999,Settings!$G$4,IF(AND($AA$6="Excluded",G601&gt;=Settings!$G$2),"",G601)))</f>
        <v>5.0000000000000001E-3</v>
      </c>
      <c r="I601" t="str">
        <f ca="1">IF(OR(G601=-999,G601=-888,AND($AA$6="Excluded",G601&gt;=Settings!$G$2)),"",G601)</f>
        <v/>
      </c>
      <c r="O601" s="46"/>
    </row>
    <row r="602" spans="1:15" x14ac:dyDescent="0.2">
      <c r="A602" s="1">
        <v>597</v>
      </c>
      <c r="B602" t="str">
        <f>IF(ISERROR(MATCH(TRIM('Data Table'!D599),Settings!$G$15:$G$20,0)),TRIM('Data Table'!D599),LOOKUP(TRIM('Data Table'!D599),Settings!$G$15:$G$20,Settings!$H$15:$H$20))</f>
        <v>Columbus</v>
      </c>
      <c r="C602" t="str">
        <f>IF('Data Table'!F599="","SS",IF('Data Table'!F599="SF","SD",TRIM('Data Table'!F599)))</f>
        <v>SB</v>
      </c>
      <c r="D602" s="106">
        <f ca="1">IF(ISBLANK(OFFSET('Data Table'!$A597,2,Settings!$G$5-1)),"",OFFSET('Data Table'!$A597,2,Settings!$G$5-1))</f>
        <v>99</v>
      </c>
      <c r="E602" s="106" t="str">
        <f ca="1">IF(ISBLANK(OFFSET('Data Table'!$A597,2,Settings!$G$5)),"",OFFSET('Data Table'!$A597,2,Settings!$G$5))</f>
        <v/>
      </c>
      <c r="F602" s="143" t="str">
        <f ca="1">IF(ISBLANK(OFFSET('Data Table'!$A597,2,Settings!$G$5+1)),"",OFFSET('Data Table'!$A597,2,Settings!$G$5+1))</f>
        <v/>
      </c>
      <c r="G602">
        <f t="shared" ca="1" si="9"/>
        <v>99</v>
      </c>
      <c r="H602">
        <f ca="1">IF(G602=-888,"",IF(G602=-999,Settings!$G$4,IF(AND($AA$6="Excluded",G602&gt;=Settings!$G$2),"",G602)))</f>
        <v>99</v>
      </c>
      <c r="I602">
        <f ca="1">IF(OR(G602=-999,G602=-888,AND($AA$6="Excluded",G602&gt;=Settings!$G$2)),"",G602)</f>
        <v>99</v>
      </c>
      <c r="O602" s="46"/>
    </row>
    <row r="603" spans="1:15" x14ac:dyDescent="0.2">
      <c r="A603" s="1">
        <v>598</v>
      </c>
      <c r="B603" t="str">
        <f>IF(ISERROR(MATCH(TRIM('Data Table'!D600),Settings!$G$15:$G$20,0)),TRIM('Data Table'!D600),LOOKUP(TRIM('Data Table'!D600),Settings!$G$15:$G$20,Settings!$H$15:$H$20))</f>
        <v>Gaston</v>
      </c>
      <c r="C603" t="str">
        <f>IF('Data Table'!F600="","SS",IF('Data Table'!F600="SF","SD",TRIM('Data Table'!F600)))</f>
        <v>SS</v>
      </c>
      <c r="D603" s="106" t="str">
        <f ca="1">IF(ISBLANK(OFFSET('Data Table'!$A598,2,Settings!$G$5-1)),"",OFFSET('Data Table'!$A598,2,Settings!$G$5-1))</f>
        <v/>
      </c>
      <c r="E603" s="106" t="str">
        <f ca="1">IF(ISBLANK(OFFSET('Data Table'!$A598,2,Settings!$G$5)),"",OFFSET('Data Table'!$A598,2,Settings!$G$5))</f>
        <v/>
      </c>
      <c r="F603" s="143">
        <f ca="1">IF(ISBLANK(OFFSET('Data Table'!$A598,2,Settings!$G$5+1)),"",OFFSET('Data Table'!$A598,2,Settings!$G$5+1))</f>
        <v>4</v>
      </c>
      <c r="G603">
        <f t="shared" ca="1" si="9"/>
        <v>4</v>
      </c>
      <c r="H603">
        <f ca="1">IF(G603=-888,"",IF(G603=-999,Settings!$G$4,IF(AND($AA$6="Excluded",G603&gt;=Settings!$G$2),"",G603)))</f>
        <v>4</v>
      </c>
      <c r="I603">
        <f ca="1">IF(OR(G603=-999,G603=-888,AND($AA$6="Excluded",G603&gt;=Settings!$G$2)),"",G603)</f>
        <v>4</v>
      </c>
      <c r="O603" s="46"/>
    </row>
    <row r="604" spans="1:15" x14ac:dyDescent="0.2">
      <c r="A604" s="1">
        <v>599</v>
      </c>
      <c r="B604" t="str">
        <f>IF(ISERROR(MATCH(TRIM('Data Table'!D601),Settings!$G$15:$G$20,0)),TRIM('Data Table'!D601),LOOKUP(TRIM('Data Table'!D601),Settings!$G$15:$G$20,Settings!$H$15:$H$20))</f>
        <v>Gaston</v>
      </c>
      <c r="C604" t="str">
        <f>IF('Data Table'!F601="","SS",IF('Data Table'!F601="SF","SD",TRIM('Data Table'!F601)))</f>
        <v>SS</v>
      </c>
      <c r="D604" s="106">
        <f ca="1">IF(ISBLANK(OFFSET('Data Table'!$A599,2,Settings!$G$5-1)),"",OFFSET('Data Table'!$A599,2,Settings!$G$5-1))</f>
        <v>8</v>
      </c>
      <c r="E604" s="106" t="str">
        <f ca="1">IF(ISBLANK(OFFSET('Data Table'!$A599,2,Settings!$G$5)),"",OFFSET('Data Table'!$A599,2,Settings!$G$5))</f>
        <v/>
      </c>
      <c r="F604" s="143" t="str">
        <f ca="1">IF(ISBLANK(OFFSET('Data Table'!$A599,2,Settings!$G$5+1)),"",OFFSET('Data Table'!$A599,2,Settings!$G$5+1))</f>
        <v/>
      </c>
      <c r="G604">
        <f t="shared" ca="1" si="9"/>
        <v>8</v>
      </c>
      <c r="H604">
        <f ca="1">IF(G604=-888,"",IF(G604=-999,Settings!$G$4,IF(AND($AA$6="Excluded",G604&gt;=Settings!$G$2),"",G604)))</f>
        <v>8</v>
      </c>
      <c r="I604">
        <f ca="1">IF(OR(G604=-999,G604=-888,AND($AA$6="Excluded",G604&gt;=Settings!$G$2)),"",G604)</f>
        <v>8</v>
      </c>
      <c r="O604" s="46"/>
    </row>
    <row r="605" spans="1:15" x14ac:dyDescent="0.2">
      <c r="A605" s="1">
        <v>600</v>
      </c>
      <c r="B605" t="str">
        <f>IF(ISERROR(MATCH(TRIM('Data Table'!D602),Settings!$G$15:$G$20,0)),TRIM('Data Table'!D602),LOOKUP(TRIM('Data Table'!D602),Settings!$G$15:$G$20,Settings!$H$15:$H$20))</f>
        <v>Gaston</v>
      </c>
      <c r="C605" t="str">
        <f>IF('Data Table'!F602="","SS",IF('Data Table'!F602="SF","SD",TRIM('Data Table'!F602)))</f>
        <v>SS</v>
      </c>
      <c r="D605" s="106" t="str">
        <f ca="1">IF(ISBLANK(OFFSET('Data Table'!$A600,2,Settings!$G$5-1)),"",OFFSET('Data Table'!$A600,2,Settings!$G$5-1))</f>
        <v/>
      </c>
      <c r="E605" s="106" t="str">
        <f ca="1">IF(ISBLANK(OFFSET('Data Table'!$A600,2,Settings!$G$5)),"",OFFSET('Data Table'!$A600,2,Settings!$G$5))</f>
        <v/>
      </c>
      <c r="F605" s="143">
        <f ca="1">IF(ISBLANK(OFFSET('Data Table'!$A600,2,Settings!$G$5+1)),"",OFFSET('Data Table'!$A600,2,Settings!$G$5+1))</f>
        <v>20</v>
      </c>
      <c r="G605">
        <f t="shared" ca="1" si="9"/>
        <v>20</v>
      </c>
      <c r="H605">
        <f ca="1">IF(G605=-888,"",IF(G605=-999,Settings!$G$4,IF(AND($AA$6="Excluded",G605&gt;=Settings!$G$2),"",G605)))</f>
        <v>20</v>
      </c>
      <c r="I605">
        <f ca="1">IF(OR(G605=-999,G605=-888,AND($AA$6="Excluded",G605&gt;=Settings!$G$2)),"",G605)</f>
        <v>20</v>
      </c>
      <c r="O605" s="46"/>
    </row>
    <row r="606" spans="1:15" x14ac:dyDescent="0.2">
      <c r="A606" s="1">
        <v>601</v>
      </c>
      <c r="B606" t="str">
        <f>IF(ISERROR(MATCH(TRIM('Data Table'!D603),Settings!$G$15:$G$20,0)),TRIM('Data Table'!D603),LOOKUP(TRIM('Data Table'!D603),Settings!$G$15:$G$20,Settings!$H$15:$H$20))</f>
        <v>Gaston</v>
      </c>
      <c r="C606" t="str">
        <f>IF('Data Table'!F603="","SS",IF('Data Table'!F603="SF","SD",TRIM('Data Table'!F603)))</f>
        <v>SS</v>
      </c>
      <c r="D606" s="106" t="str">
        <f ca="1">IF(ISBLANK(OFFSET('Data Table'!$A601,2,Settings!$G$5-1)),"",OFFSET('Data Table'!$A601,2,Settings!$G$5-1))</f>
        <v/>
      </c>
      <c r="E606" s="106" t="str">
        <f ca="1">IF(ISBLANK(OFFSET('Data Table'!$A601,2,Settings!$G$5)),"",OFFSET('Data Table'!$A601,2,Settings!$G$5))</f>
        <v/>
      </c>
      <c r="F606" s="143">
        <f ca="1">IF(ISBLANK(OFFSET('Data Table'!$A601,2,Settings!$G$5+1)),"",OFFSET('Data Table'!$A601,2,Settings!$G$5+1))</f>
        <v>20</v>
      </c>
      <c r="G606">
        <f t="shared" ca="1" si="9"/>
        <v>20</v>
      </c>
      <c r="H606">
        <f ca="1">IF(G606=-888,"",IF(G606=-999,Settings!$G$4,IF(AND($AA$6="Excluded",G606&gt;=Settings!$G$2),"",G606)))</f>
        <v>20</v>
      </c>
      <c r="I606">
        <f ca="1">IF(OR(G606=-999,G606=-888,AND($AA$6="Excluded",G606&gt;=Settings!$G$2)),"",G606)</f>
        <v>20</v>
      </c>
      <c r="O606" s="46"/>
    </row>
    <row r="607" spans="1:15" x14ac:dyDescent="0.2">
      <c r="A607" s="1">
        <v>602</v>
      </c>
      <c r="B607" t="str">
        <f>IF(ISERROR(MATCH(TRIM('Data Table'!D604),Settings!$G$15:$G$20,0)),TRIM('Data Table'!D604),LOOKUP(TRIM('Data Table'!D604),Settings!$G$15:$G$20,Settings!$H$15:$H$20))</f>
        <v>Gaston</v>
      </c>
      <c r="C607" t="str">
        <f>IF('Data Table'!F604="","SS",IF('Data Table'!F604="SF","SD",TRIM('Data Table'!F604)))</f>
        <v>SD</v>
      </c>
      <c r="D607" s="106" t="str">
        <f ca="1">IF(ISBLANK(OFFSET('Data Table'!$A602,2,Settings!$G$5-1)),"",OFFSET('Data Table'!$A602,2,Settings!$G$5-1))</f>
        <v/>
      </c>
      <c r="E607" s="106" t="str">
        <f ca="1">IF(ISBLANK(OFFSET('Data Table'!$A602,2,Settings!$G$5)),"",OFFSET('Data Table'!$A602,2,Settings!$G$5))</f>
        <v/>
      </c>
      <c r="F607" s="143">
        <f ca="1">IF(ISBLANK(OFFSET('Data Table'!$A602,2,Settings!$G$5+1)),"",OFFSET('Data Table'!$A602,2,Settings!$G$5+1))</f>
        <v>20</v>
      </c>
      <c r="G607">
        <f t="shared" ca="1" si="9"/>
        <v>20</v>
      </c>
      <c r="H607">
        <f ca="1">IF(G607=-888,"",IF(G607=-999,Settings!$G$4,IF(AND($AA$6="Excluded",G607&gt;=Settings!$G$2),"",G607)))</f>
        <v>20</v>
      </c>
      <c r="I607">
        <f ca="1">IF(OR(G607=-999,G607=-888,AND($AA$6="Excluded",G607&gt;=Settings!$G$2)),"",G607)</f>
        <v>20</v>
      </c>
      <c r="O607" s="46"/>
    </row>
    <row r="608" spans="1:15" x14ac:dyDescent="0.2">
      <c r="A608" s="1">
        <v>603</v>
      </c>
      <c r="B608" t="str">
        <f>IF(ISERROR(MATCH(TRIM('Data Table'!D605),Settings!$G$15:$G$20,0)),TRIM('Data Table'!D605),LOOKUP(TRIM('Data Table'!D605),Settings!$G$15:$G$20,Settings!$H$15:$H$20))</f>
        <v>Gaston</v>
      </c>
      <c r="C608" t="str">
        <f>IF('Data Table'!F605="","SS",IF('Data Table'!F605="SF","SD",TRIM('Data Table'!F605)))</f>
        <v>SD</v>
      </c>
      <c r="D608" s="106" t="str">
        <f ca="1">IF(ISBLANK(OFFSET('Data Table'!$A603,2,Settings!$G$5-1)),"",OFFSET('Data Table'!$A603,2,Settings!$G$5-1))</f>
        <v/>
      </c>
      <c r="E608" s="106" t="str">
        <f ca="1">IF(ISBLANK(OFFSET('Data Table'!$A603,2,Settings!$G$5)),"",OFFSET('Data Table'!$A603,2,Settings!$G$5))</f>
        <v/>
      </c>
      <c r="F608" s="143">
        <f ca="1">IF(ISBLANK(OFFSET('Data Table'!$A603,2,Settings!$G$5+1)),"",OFFSET('Data Table'!$A603,2,Settings!$G$5+1))</f>
        <v>20</v>
      </c>
      <c r="G608">
        <f t="shared" ca="1" si="9"/>
        <v>20</v>
      </c>
      <c r="H608">
        <f ca="1">IF(G608=-888,"",IF(G608=-999,Settings!$G$4,IF(AND($AA$6="Excluded",G608&gt;=Settings!$G$2),"",G608)))</f>
        <v>20</v>
      </c>
      <c r="I608">
        <f ca="1">IF(OR(G608=-999,G608=-888,AND($AA$6="Excluded",G608&gt;=Settings!$G$2)),"",G608)</f>
        <v>20</v>
      </c>
      <c r="O608" s="46"/>
    </row>
    <row r="609" spans="1:15" x14ac:dyDescent="0.2">
      <c r="A609" s="1">
        <v>604</v>
      </c>
      <c r="B609" t="str">
        <f>IF(ISERROR(MATCH(TRIM('Data Table'!D606),Settings!$G$15:$G$20,0)),TRIM('Data Table'!D606),LOOKUP(TRIM('Data Table'!D606),Settings!$G$15:$G$20,Settings!$H$15:$H$20))</f>
        <v>Gaston</v>
      </c>
      <c r="C609" t="str">
        <f>IF('Data Table'!F606="","SS",IF('Data Table'!F606="SF","SD",TRIM('Data Table'!F606)))</f>
        <v>SD</v>
      </c>
      <c r="D609" s="106" t="str">
        <f ca="1">IF(ISBLANK(OFFSET('Data Table'!$A604,2,Settings!$G$5-1)),"",OFFSET('Data Table'!$A604,2,Settings!$G$5-1))</f>
        <v/>
      </c>
      <c r="E609" s="106" t="str">
        <f ca="1">IF(ISBLANK(OFFSET('Data Table'!$A604,2,Settings!$G$5)),"",OFFSET('Data Table'!$A604,2,Settings!$G$5))</f>
        <v/>
      </c>
      <c r="F609" s="143">
        <f ca="1">IF(ISBLANK(OFFSET('Data Table'!$A604,2,Settings!$G$5+1)),"",OFFSET('Data Table'!$A604,2,Settings!$G$5+1))</f>
        <v>20</v>
      </c>
      <c r="G609">
        <f t="shared" ca="1" si="9"/>
        <v>20</v>
      </c>
      <c r="H609">
        <f ca="1">IF(G609=-888,"",IF(G609=-999,Settings!$G$4,IF(AND($AA$6="Excluded",G609&gt;=Settings!$G$2),"",G609)))</f>
        <v>20</v>
      </c>
      <c r="I609">
        <f ca="1">IF(OR(G609=-999,G609=-888,AND($AA$6="Excluded",G609&gt;=Settings!$G$2)),"",G609)</f>
        <v>20</v>
      </c>
      <c r="O609" s="46"/>
    </row>
    <row r="610" spans="1:15" x14ac:dyDescent="0.2">
      <c r="A610" s="1">
        <v>605</v>
      </c>
      <c r="B610" t="str">
        <f>IF(ISERROR(MATCH(TRIM('Data Table'!D607),Settings!$G$15:$G$20,0)),TRIM('Data Table'!D607),LOOKUP(TRIM('Data Table'!D607),Settings!$G$15:$G$20,Settings!$H$15:$H$20))</f>
        <v>New Hanover</v>
      </c>
      <c r="C610" t="str">
        <f>IF('Data Table'!F607="","SS",IF('Data Table'!F607="SF","SD",TRIM('Data Table'!F607)))</f>
        <v>SS</v>
      </c>
      <c r="D610" s="106">
        <f ca="1">IF(ISBLANK(OFFSET('Data Table'!$A605,2,Settings!$G$5-1)),"",OFFSET('Data Table'!$A605,2,Settings!$G$5-1))</f>
        <v>1.2</v>
      </c>
      <c r="E610" s="106" t="str">
        <f ca="1">IF(ISBLANK(OFFSET('Data Table'!$A605,2,Settings!$G$5)),"",OFFSET('Data Table'!$A605,2,Settings!$G$5))</f>
        <v/>
      </c>
      <c r="F610" s="143" t="str">
        <f ca="1">IF(ISBLANK(OFFSET('Data Table'!$A605,2,Settings!$G$5+1)),"",OFFSET('Data Table'!$A605,2,Settings!$G$5+1))</f>
        <v/>
      </c>
      <c r="G610">
        <f t="shared" ca="1" si="9"/>
        <v>1.2</v>
      </c>
      <c r="H610">
        <f ca="1">IF(G610=-888,"",IF(G610=-999,Settings!$G$4,IF(AND($AA$6="Excluded",G610&gt;=Settings!$G$2),"",G610)))</f>
        <v>1.2</v>
      </c>
      <c r="I610">
        <f ca="1">IF(OR(G610=-999,G610=-888,AND($AA$6="Excluded",G610&gt;=Settings!$G$2)),"",G610)</f>
        <v>1.2</v>
      </c>
      <c r="O610" s="46"/>
    </row>
    <row r="611" spans="1:15" x14ac:dyDescent="0.2">
      <c r="A611" s="1">
        <v>606</v>
      </c>
      <c r="B611" t="str">
        <f>IF(ISERROR(MATCH(TRIM('Data Table'!D608),Settings!$G$15:$G$20,0)),TRIM('Data Table'!D608),LOOKUP(TRIM('Data Table'!D608),Settings!$G$15:$G$20,Settings!$H$15:$H$20))</f>
        <v>New Hanover</v>
      </c>
      <c r="C611" t="str">
        <f>IF('Data Table'!F608="","SS",IF('Data Table'!F608="SF","SD",TRIM('Data Table'!F608)))</f>
        <v>SS</v>
      </c>
      <c r="D611" s="106">
        <f ca="1">IF(ISBLANK(OFFSET('Data Table'!$A606,2,Settings!$G$5-1)),"",OFFSET('Data Table'!$A606,2,Settings!$G$5-1))</f>
        <v>2.4</v>
      </c>
      <c r="E611" s="106" t="str">
        <f ca="1">IF(ISBLANK(OFFSET('Data Table'!$A606,2,Settings!$G$5)),"",OFFSET('Data Table'!$A606,2,Settings!$G$5))</f>
        <v/>
      </c>
      <c r="F611" s="143" t="str">
        <f ca="1">IF(ISBLANK(OFFSET('Data Table'!$A606,2,Settings!$G$5+1)),"",OFFSET('Data Table'!$A606,2,Settings!$G$5+1))</f>
        <v/>
      </c>
      <c r="G611">
        <f t="shared" ca="1" si="9"/>
        <v>2.4</v>
      </c>
      <c r="H611">
        <f ca="1">IF(G611=-888,"",IF(G611=-999,Settings!$G$4,IF(AND($AA$6="Excluded",G611&gt;=Settings!$G$2),"",G611)))</f>
        <v>2.4</v>
      </c>
      <c r="I611">
        <f ca="1">IF(OR(G611=-999,G611=-888,AND($AA$6="Excluded",G611&gt;=Settings!$G$2)),"",G611)</f>
        <v>2.4</v>
      </c>
      <c r="O611" s="46"/>
    </row>
    <row r="612" spans="1:15" x14ac:dyDescent="0.2">
      <c r="A612" s="1">
        <v>607</v>
      </c>
      <c r="B612" t="str">
        <f>IF(ISERROR(MATCH(TRIM('Data Table'!D609),Settings!$G$15:$G$20,0)),TRIM('Data Table'!D609),LOOKUP(TRIM('Data Table'!D609),Settings!$G$15:$G$20,Settings!$H$15:$H$20))</f>
        <v>Union</v>
      </c>
      <c r="C612" t="str">
        <f>IF('Data Table'!F609="","SS",IF('Data Table'!F609="SF","SD",TRIM('Data Table'!F609)))</f>
        <v>SD</v>
      </c>
      <c r="D612" s="106" t="str">
        <f ca="1">IF(ISBLANK(OFFSET('Data Table'!$A607,2,Settings!$G$5-1)),"",OFFSET('Data Table'!$A607,2,Settings!$G$5-1))</f>
        <v/>
      </c>
      <c r="E612" s="106">
        <f ca="1">IF(ISBLANK(OFFSET('Data Table'!$A607,2,Settings!$G$5)),"",OFFSET('Data Table'!$A607,2,Settings!$G$5))</f>
        <v>14.399999999999999</v>
      </c>
      <c r="F612" s="143" t="str">
        <f ca="1">IF(ISBLANK(OFFSET('Data Table'!$A607,2,Settings!$G$5+1)),"",OFFSET('Data Table'!$A607,2,Settings!$G$5+1))</f>
        <v/>
      </c>
      <c r="G612">
        <f t="shared" ca="1" si="9"/>
        <v>14.399999999999999</v>
      </c>
      <c r="H612">
        <f ca="1">IF(G612=-888,"",IF(G612=-999,Settings!$G$4,IF(AND($AA$6="Excluded",G612&gt;=Settings!$G$2),"",G612)))</f>
        <v>14.399999999999999</v>
      </c>
      <c r="I612">
        <f ca="1">IF(OR(G612=-999,G612=-888,AND($AA$6="Excluded",G612&gt;=Settings!$G$2)),"",G612)</f>
        <v>14.399999999999999</v>
      </c>
      <c r="O612" s="46"/>
    </row>
    <row r="613" spans="1:15" x14ac:dyDescent="0.2">
      <c r="A613" s="1">
        <v>608</v>
      </c>
      <c r="B613" t="str">
        <f>IF(ISERROR(MATCH(TRIM('Data Table'!D610),Settings!$G$15:$G$20,0)),TRIM('Data Table'!D610),LOOKUP(TRIM('Data Table'!D610),Settings!$G$15:$G$20,Settings!$H$15:$H$20))</f>
        <v>Union</v>
      </c>
      <c r="C613" t="str">
        <f>IF('Data Table'!F610="","SS",IF('Data Table'!F610="SF","SD",TRIM('Data Table'!F610)))</f>
        <v>SD</v>
      </c>
      <c r="D613" s="106" t="str">
        <f ca="1">IF(ISBLANK(OFFSET('Data Table'!$A608,2,Settings!$G$5-1)),"",OFFSET('Data Table'!$A608,2,Settings!$G$5-1))</f>
        <v/>
      </c>
      <c r="E613" s="106">
        <f ca="1">IF(ISBLANK(OFFSET('Data Table'!$A608,2,Settings!$G$5)),"",OFFSET('Data Table'!$A608,2,Settings!$G$5))</f>
        <v>18.72</v>
      </c>
      <c r="F613" s="143" t="str">
        <f ca="1">IF(ISBLANK(OFFSET('Data Table'!$A608,2,Settings!$G$5+1)),"",OFFSET('Data Table'!$A608,2,Settings!$G$5+1))</f>
        <v/>
      </c>
      <c r="G613">
        <f t="shared" ca="1" si="9"/>
        <v>18.72</v>
      </c>
      <c r="H613">
        <f ca="1">IF(G613=-888,"",IF(G613=-999,Settings!$G$4,IF(AND($AA$6="Excluded",G613&gt;=Settings!$G$2),"",G613)))</f>
        <v>18.72</v>
      </c>
      <c r="I613">
        <f ca="1">IF(OR(G613=-999,G613=-888,AND($AA$6="Excluded",G613&gt;=Settings!$G$2)),"",G613)</f>
        <v>18.72</v>
      </c>
      <c r="O613" s="46"/>
    </row>
    <row r="614" spans="1:15" x14ac:dyDescent="0.2">
      <c r="A614" s="1">
        <v>609</v>
      </c>
      <c r="B614" t="str">
        <f>IF(ISERROR(MATCH(TRIM('Data Table'!D611),Settings!$G$15:$G$20,0)),TRIM('Data Table'!D611),LOOKUP(TRIM('Data Table'!D611),Settings!$G$15:$G$20,Settings!$H$15:$H$20))</f>
        <v>Union</v>
      </c>
      <c r="C614" t="str">
        <f>IF('Data Table'!F611="","SS",IF('Data Table'!F611="SF","SD",TRIM('Data Table'!F611)))</f>
        <v>SD</v>
      </c>
      <c r="D614" s="106" t="str">
        <f ca="1">IF(ISBLANK(OFFSET('Data Table'!$A609,2,Settings!$G$5-1)),"",OFFSET('Data Table'!$A609,2,Settings!$G$5-1))</f>
        <v/>
      </c>
      <c r="E614" s="106">
        <f ca="1">IF(ISBLANK(OFFSET('Data Table'!$A609,2,Settings!$G$5)),"",OFFSET('Data Table'!$A609,2,Settings!$G$5))</f>
        <v>12.383999999999999</v>
      </c>
      <c r="F614" s="143" t="str">
        <f ca="1">IF(ISBLANK(OFFSET('Data Table'!$A609,2,Settings!$G$5+1)),"",OFFSET('Data Table'!$A609,2,Settings!$G$5+1))</f>
        <v/>
      </c>
      <c r="G614">
        <f t="shared" ca="1" si="9"/>
        <v>12.383999999999999</v>
      </c>
      <c r="H614">
        <f ca="1">IF(G614=-888,"",IF(G614=-999,Settings!$G$4,IF(AND($AA$6="Excluded",G614&gt;=Settings!$G$2),"",G614)))</f>
        <v>12.383999999999999</v>
      </c>
      <c r="I614">
        <f ca="1">IF(OR(G614=-999,G614=-888,AND($AA$6="Excluded",G614&gt;=Settings!$G$2)),"",G614)</f>
        <v>12.383999999999999</v>
      </c>
      <c r="O614" s="46"/>
    </row>
    <row r="615" spans="1:15" x14ac:dyDescent="0.2">
      <c r="A615" s="1">
        <v>610</v>
      </c>
      <c r="B615" t="str">
        <f>IF(ISERROR(MATCH(TRIM('Data Table'!D612),Settings!$G$15:$G$20,0)),TRIM('Data Table'!D612),LOOKUP(TRIM('Data Table'!D612),Settings!$G$15:$G$20,Settings!$H$15:$H$20))</f>
        <v>Union</v>
      </c>
      <c r="C615" t="str">
        <f>IF('Data Table'!F612="","SS",IF('Data Table'!F612="SF","SD",TRIM('Data Table'!F612)))</f>
        <v>SS</v>
      </c>
      <c r="D615" s="106" t="str">
        <f ca="1">IF(ISBLANK(OFFSET('Data Table'!$A610,2,Settings!$G$5-1)),"",OFFSET('Data Table'!$A610,2,Settings!$G$5-1))</f>
        <v/>
      </c>
      <c r="E615" s="106">
        <f ca="1">IF(ISBLANK(OFFSET('Data Table'!$A610,2,Settings!$G$5)),"",OFFSET('Data Table'!$A610,2,Settings!$G$5))</f>
        <v>21.599999999999998</v>
      </c>
      <c r="F615" s="143" t="str">
        <f ca="1">IF(ISBLANK(OFFSET('Data Table'!$A610,2,Settings!$G$5+1)),"",OFFSET('Data Table'!$A610,2,Settings!$G$5+1))</f>
        <v/>
      </c>
      <c r="G615">
        <f t="shared" ca="1" si="9"/>
        <v>21.599999999999998</v>
      </c>
      <c r="H615">
        <f ca="1">IF(G615=-888,"",IF(G615=-999,Settings!$G$4,IF(AND($AA$6="Excluded",G615&gt;=Settings!$G$2),"",G615)))</f>
        <v>21.599999999999998</v>
      </c>
      <c r="I615">
        <f ca="1">IF(OR(G615=-999,G615=-888,AND($AA$6="Excluded",G615&gt;=Settings!$G$2)),"",G615)</f>
        <v>21.599999999999998</v>
      </c>
      <c r="O615" s="46"/>
    </row>
    <row r="616" spans="1:15" x14ac:dyDescent="0.2">
      <c r="A616" s="1">
        <v>611</v>
      </c>
      <c r="B616" t="str">
        <f>IF(ISERROR(MATCH(TRIM('Data Table'!D613),Settings!$G$15:$G$20,0)),TRIM('Data Table'!D613),LOOKUP(TRIM('Data Table'!D613),Settings!$G$15:$G$20,Settings!$H$15:$H$20))</f>
        <v>Forsyth</v>
      </c>
      <c r="C616" t="str">
        <f>IF('Data Table'!F613="","SS",IF('Data Table'!F613="SF","SD",TRIM('Data Table'!F613)))</f>
        <v>SD</v>
      </c>
      <c r="D616" s="106">
        <f ca="1">IF(ISBLANK(OFFSET('Data Table'!$A611,2,Settings!$G$5-1)),"",OFFSET('Data Table'!$A611,2,Settings!$G$5-1))</f>
        <v>1291</v>
      </c>
      <c r="E616" s="106" t="str">
        <f ca="1">IF(ISBLANK(OFFSET('Data Table'!$A611,2,Settings!$G$5)),"",OFFSET('Data Table'!$A611,2,Settings!$G$5))</f>
        <v/>
      </c>
      <c r="F616" s="143" t="str">
        <f ca="1">IF(ISBLANK(OFFSET('Data Table'!$A611,2,Settings!$G$5+1)),"",OFFSET('Data Table'!$A611,2,Settings!$G$5+1))</f>
        <v/>
      </c>
      <c r="G616">
        <f t="shared" ca="1" si="9"/>
        <v>1291</v>
      </c>
      <c r="H616" t="str">
        <f ca="1">IF(G616=-888,"",IF(G616=-999,Settings!$G$4,IF(AND($AA$6="Excluded",G616&gt;=Settings!$G$2),"",G616)))</f>
        <v/>
      </c>
      <c r="I616" t="str">
        <f ca="1">IF(OR(G616=-999,G616=-888,AND($AA$6="Excluded",G616&gt;=Settings!$G$2)),"",G616)</f>
        <v/>
      </c>
      <c r="O616" s="46"/>
    </row>
    <row r="617" spans="1:15" x14ac:dyDescent="0.2">
      <c r="A617" s="1">
        <v>612</v>
      </c>
      <c r="B617" t="str">
        <f>IF(ISERROR(MATCH(TRIM('Data Table'!D614),Settings!$G$15:$G$20,0)),TRIM('Data Table'!D614),LOOKUP(TRIM('Data Table'!D614),Settings!$G$15:$G$20,Settings!$H$15:$H$20))</f>
        <v>Forsyth</v>
      </c>
      <c r="C617" t="str">
        <f>IF('Data Table'!F614="","SS",IF('Data Table'!F614="SF","SD",TRIM('Data Table'!F614)))</f>
        <v>SS</v>
      </c>
      <c r="D617" s="106" t="str">
        <f ca="1">IF(ISBLANK(OFFSET('Data Table'!$A612,2,Settings!$G$5-1)),"",OFFSET('Data Table'!$A612,2,Settings!$G$5-1))</f>
        <v/>
      </c>
      <c r="E617" s="106">
        <f ca="1">IF(ISBLANK(OFFSET('Data Table'!$A612,2,Settings!$G$5)),"",OFFSET('Data Table'!$A612,2,Settings!$G$5))</f>
        <v>139.68</v>
      </c>
      <c r="F617" s="143" t="str">
        <f ca="1">IF(ISBLANK(OFFSET('Data Table'!$A612,2,Settings!$G$5+1)),"",OFFSET('Data Table'!$A612,2,Settings!$G$5+1))</f>
        <v/>
      </c>
      <c r="G617">
        <f t="shared" ca="1" si="9"/>
        <v>139.68</v>
      </c>
      <c r="H617">
        <f ca="1">IF(G617=-888,"",IF(G617=-999,Settings!$G$4,IF(AND($AA$6="Excluded",G617&gt;=Settings!$G$2),"",G617)))</f>
        <v>139.68</v>
      </c>
      <c r="I617">
        <f ca="1">IF(OR(G617=-999,G617=-888,AND($AA$6="Excluded",G617&gt;=Settings!$G$2)),"",G617)</f>
        <v>139.68</v>
      </c>
      <c r="O617" s="46"/>
    </row>
    <row r="618" spans="1:15" x14ac:dyDescent="0.2">
      <c r="A618" s="1">
        <v>613</v>
      </c>
      <c r="B618" t="str">
        <f>IF(ISERROR(MATCH(TRIM('Data Table'!D615),Settings!$G$15:$G$20,0)),TRIM('Data Table'!D615),LOOKUP(TRIM('Data Table'!D615),Settings!$G$15:$G$20,Settings!$H$15:$H$20))</f>
        <v>Forsyth</v>
      </c>
      <c r="C618" t="str">
        <f>IF('Data Table'!F615="","SS",IF('Data Table'!F615="SF","SD",TRIM('Data Table'!F615)))</f>
        <v>SB</v>
      </c>
      <c r="D618" s="106" t="str">
        <f ca="1">IF(ISBLANK(OFFSET('Data Table'!$A613,2,Settings!$G$5-1)),"",OFFSET('Data Table'!$A613,2,Settings!$G$5-1))</f>
        <v/>
      </c>
      <c r="E618" s="106">
        <f ca="1">IF(ISBLANK(OFFSET('Data Table'!$A613,2,Settings!$G$5)),"",OFFSET('Data Table'!$A613,2,Settings!$G$5))</f>
        <v>38.879999999999995</v>
      </c>
      <c r="F618" s="143" t="str">
        <f ca="1">IF(ISBLANK(OFFSET('Data Table'!$A613,2,Settings!$G$5+1)),"",OFFSET('Data Table'!$A613,2,Settings!$G$5+1))</f>
        <v/>
      </c>
      <c r="G618">
        <f t="shared" ca="1" si="9"/>
        <v>38.879999999999995</v>
      </c>
      <c r="H618">
        <f ca="1">IF(G618=-888,"",IF(G618=-999,Settings!$G$4,IF(AND($AA$6="Excluded",G618&gt;=Settings!$G$2),"",G618)))</f>
        <v>38.879999999999995</v>
      </c>
      <c r="I618">
        <f ca="1">IF(OR(G618=-999,G618=-888,AND($AA$6="Excluded",G618&gt;=Settings!$G$2)),"",G618)</f>
        <v>38.879999999999995</v>
      </c>
      <c r="O618" s="46"/>
    </row>
    <row r="619" spans="1:15" x14ac:dyDescent="0.2">
      <c r="A619" s="1">
        <v>614</v>
      </c>
      <c r="B619" t="str">
        <f>IF(ISERROR(MATCH(TRIM('Data Table'!D616),Settings!$G$15:$G$20,0)),TRIM('Data Table'!D616),LOOKUP(TRIM('Data Table'!D616),Settings!$G$15:$G$20,Settings!$H$15:$H$20))</f>
        <v>Forsyth</v>
      </c>
      <c r="C619" t="str">
        <f>IF('Data Table'!F616="","SS",IF('Data Table'!F616="SF","SD",TRIM('Data Table'!F616)))</f>
        <v>SD</v>
      </c>
      <c r="D619" s="106" t="str">
        <f ca="1">IF(ISBLANK(OFFSET('Data Table'!$A614,2,Settings!$G$5-1)),"",OFFSET('Data Table'!$A614,2,Settings!$G$5-1))</f>
        <v/>
      </c>
      <c r="E619" s="106">
        <f ca="1">IF(ISBLANK(OFFSET('Data Table'!$A614,2,Settings!$G$5)),"",OFFSET('Data Table'!$A614,2,Settings!$G$5))</f>
        <v>23.04</v>
      </c>
      <c r="F619" s="143" t="str">
        <f ca="1">IF(ISBLANK(OFFSET('Data Table'!$A614,2,Settings!$G$5+1)),"",OFFSET('Data Table'!$A614,2,Settings!$G$5+1))</f>
        <v/>
      </c>
      <c r="G619">
        <f t="shared" ca="1" si="9"/>
        <v>23.04</v>
      </c>
      <c r="H619">
        <f ca="1">IF(G619=-888,"",IF(G619=-999,Settings!$G$4,IF(AND($AA$6="Excluded",G619&gt;=Settings!$G$2),"",G619)))</f>
        <v>23.04</v>
      </c>
      <c r="I619">
        <f ca="1">IF(OR(G619=-999,G619=-888,AND($AA$6="Excluded",G619&gt;=Settings!$G$2)),"",G619)</f>
        <v>23.04</v>
      </c>
      <c r="O619" s="46"/>
    </row>
    <row r="620" spans="1:15" x14ac:dyDescent="0.2">
      <c r="A620" s="1">
        <v>615</v>
      </c>
      <c r="B620" t="str">
        <f>IF(ISERROR(MATCH(TRIM('Data Table'!D617),Settings!$G$15:$G$20,0)),TRIM('Data Table'!D617),LOOKUP(TRIM('Data Table'!D617),Settings!$G$15:$G$20,Settings!$H$15:$H$20))</f>
        <v>Forsyth</v>
      </c>
      <c r="C620" t="str">
        <f>IF('Data Table'!F617="","SS",IF('Data Table'!F617="SF","SD",TRIM('Data Table'!F617)))</f>
        <v>SD</v>
      </c>
      <c r="D620" s="106">
        <f ca="1">IF(ISBLANK(OFFSET('Data Table'!$A615,2,Settings!$G$5-1)),"",OFFSET('Data Table'!$A615,2,Settings!$G$5-1))</f>
        <v>24</v>
      </c>
      <c r="E620" s="106" t="str">
        <f ca="1">IF(ISBLANK(OFFSET('Data Table'!$A615,2,Settings!$G$5)),"",OFFSET('Data Table'!$A615,2,Settings!$G$5))</f>
        <v/>
      </c>
      <c r="F620" s="143" t="str">
        <f ca="1">IF(ISBLANK(OFFSET('Data Table'!$A615,2,Settings!$G$5+1)),"",OFFSET('Data Table'!$A615,2,Settings!$G$5+1))</f>
        <v/>
      </c>
      <c r="G620">
        <f t="shared" ca="1" si="9"/>
        <v>24</v>
      </c>
      <c r="H620">
        <f ca="1">IF(G620=-888,"",IF(G620=-999,Settings!$G$4,IF(AND($AA$6="Excluded",G620&gt;=Settings!$G$2),"",G620)))</f>
        <v>24</v>
      </c>
      <c r="I620">
        <f ca="1">IF(OR(G620=-999,G620=-888,AND($AA$6="Excluded",G620&gt;=Settings!$G$2)),"",G620)</f>
        <v>24</v>
      </c>
      <c r="O620" s="46"/>
    </row>
    <row r="621" spans="1:15" x14ac:dyDescent="0.2">
      <c r="A621" s="1">
        <v>616</v>
      </c>
      <c r="B621" t="str">
        <f>IF(ISERROR(MATCH(TRIM('Data Table'!D618),Settings!$G$15:$G$20,0)),TRIM('Data Table'!D618),LOOKUP(TRIM('Data Table'!D618),Settings!$G$15:$G$20,Settings!$H$15:$H$20))</f>
        <v>Forsyth</v>
      </c>
      <c r="C621" t="str">
        <f>IF('Data Table'!F618="","SS",IF('Data Table'!F618="SF","SD",TRIM('Data Table'!F618)))</f>
        <v>SD</v>
      </c>
      <c r="D621" s="106">
        <f ca="1">IF(ISBLANK(OFFSET('Data Table'!$A616,2,Settings!$G$5-1)),"",OFFSET('Data Table'!$A616,2,Settings!$G$5-1))</f>
        <v>15</v>
      </c>
      <c r="E621" s="106" t="str">
        <f ca="1">IF(ISBLANK(OFFSET('Data Table'!$A616,2,Settings!$G$5)),"",OFFSET('Data Table'!$A616,2,Settings!$G$5))</f>
        <v/>
      </c>
      <c r="F621" s="143" t="str">
        <f ca="1">IF(ISBLANK(OFFSET('Data Table'!$A616,2,Settings!$G$5+1)),"",OFFSET('Data Table'!$A616,2,Settings!$G$5+1))</f>
        <v/>
      </c>
      <c r="G621">
        <f t="shared" ca="1" si="9"/>
        <v>15</v>
      </c>
      <c r="H621">
        <f ca="1">IF(G621=-888,"",IF(G621=-999,Settings!$G$4,IF(AND($AA$6="Excluded",G621&gt;=Settings!$G$2),"",G621)))</f>
        <v>15</v>
      </c>
      <c r="I621">
        <f ca="1">IF(OR(G621=-999,G621=-888,AND($AA$6="Excluded",G621&gt;=Settings!$G$2)),"",G621)</f>
        <v>15</v>
      </c>
      <c r="O621" s="46"/>
    </row>
    <row r="622" spans="1:15" x14ac:dyDescent="0.2">
      <c r="A622" s="1">
        <v>617</v>
      </c>
      <c r="B622" t="str">
        <f>IF(ISERROR(MATCH(TRIM('Data Table'!D619),Settings!$G$15:$G$20,0)),TRIM('Data Table'!D619),LOOKUP(TRIM('Data Table'!D619),Settings!$G$15:$G$20,Settings!$H$15:$H$20))</f>
        <v>Forsyth</v>
      </c>
      <c r="C622" t="str">
        <f>IF('Data Table'!F619="","SS",IF('Data Table'!F619="SF","SD",TRIM('Data Table'!F619)))</f>
        <v>SD</v>
      </c>
      <c r="D622" s="106">
        <f ca="1">IF(ISBLANK(OFFSET('Data Table'!$A617,2,Settings!$G$5-1)),"",OFFSET('Data Table'!$A617,2,Settings!$G$5-1))</f>
        <v>14</v>
      </c>
      <c r="E622" s="106" t="str">
        <f ca="1">IF(ISBLANK(OFFSET('Data Table'!$A617,2,Settings!$G$5)),"",OFFSET('Data Table'!$A617,2,Settings!$G$5))</f>
        <v/>
      </c>
      <c r="F622" s="143" t="str">
        <f ca="1">IF(ISBLANK(OFFSET('Data Table'!$A617,2,Settings!$G$5+1)),"",OFFSET('Data Table'!$A617,2,Settings!$G$5+1))</f>
        <v/>
      </c>
      <c r="G622">
        <f t="shared" ca="1" si="9"/>
        <v>14</v>
      </c>
      <c r="H622">
        <f ca="1">IF(G622=-888,"",IF(G622=-999,Settings!$G$4,IF(AND($AA$6="Excluded",G622&gt;=Settings!$G$2),"",G622)))</f>
        <v>14</v>
      </c>
      <c r="I622">
        <f ca="1">IF(OR(G622=-999,G622=-888,AND($AA$6="Excluded",G622&gt;=Settings!$G$2)),"",G622)</f>
        <v>14</v>
      </c>
      <c r="O622" s="46"/>
    </row>
    <row r="623" spans="1:15" x14ac:dyDescent="0.2">
      <c r="A623" s="1">
        <v>618</v>
      </c>
      <c r="B623" t="str">
        <f>IF(ISERROR(MATCH(TRIM('Data Table'!D620),Settings!$G$15:$G$20,0)),TRIM('Data Table'!D620),LOOKUP(TRIM('Data Table'!D620),Settings!$G$15:$G$20,Settings!$H$15:$H$20))</f>
        <v>Forsyth</v>
      </c>
      <c r="C623" t="str">
        <f>IF('Data Table'!F620="","SS",IF('Data Table'!F620="SF","SD",TRIM('Data Table'!F620)))</f>
        <v>SD</v>
      </c>
      <c r="D623" s="106">
        <f ca="1">IF(ISBLANK(OFFSET('Data Table'!$A618,2,Settings!$G$5-1)),"",OFFSET('Data Table'!$A618,2,Settings!$G$5-1))</f>
        <v>6.8</v>
      </c>
      <c r="E623" s="106" t="str">
        <f ca="1">IF(ISBLANK(OFFSET('Data Table'!$A618,2,Settings!$G$5)),"",OFFSET('Data Table'!$A618,2,Settings!$G$5))</f>
        <v/>
      </c>
      <c r="F623" s="143" t="str">
        <f ca="1">IF(ISBLANK(OFFSET('Data Table'!$A618,2,Settings!$G$5+1)),"",OFFSET('Data Table'!$A618,2,Settings!$G$5+1))</f>
        <v/>
      </c>
      <c r="G623">
        <f t="shared" ca="1" si="9"/>
        <v>6.8</v>
      </c>
      <c r="H623">
        <f ca="1">IF(G623=-888,"",IF(G623=-999,Settings!$G$4,IF(AND($AA$6="Excluded",G623&gt;=Settings!$G$2),"",G623)))</f>
        <v>6.8</v>
      </c>
      <c r="I623">
        <f ca="1">IF(OR(G623=-999,G623=-888,AND($AA$6="Excluded",G623&gt;=Settings!$G$2)),"",G623)</f>
        <v>6.8</v>
      </c>
      <c r="O623" s="46"/>
    </row>
    <row r="624" spans="1:15" x14ac:dyDescent="0.2">
      <c r="A624" s="1">
        <v>619</v>
      </c>
      <c r="B624" t="str">
        <f>IF(ISERROR(MATCH(TRIM('Data Table'!D621),Settings!$G$15:$G$20,0)),TRIM('Data Table'!D621),LOOKUP(TRIM('Data Table'!D621),Settings!$G$15:$G$20,Settings!$H$15:$H$20))</f>
        <v>Forsyth</v>
      </c>
      <c r="C624" t="str">
        <f>IF('Data Table'!F621="","SS",IF('Data Table'!F621="SF","SD",TRIM('Data Table'!F621)))</f>
        <v>SD</v>
      </c>
      <c r="D624" s="106">
        <f ca="1">IF(ISBLANK(OFFSET('Data Table'!$A619,2,Settings!$G$5-1)),"",OFFSET('Data Table'!$A619,2,Settings!$G$5-1))</f>
        <v>11</v>
      </c>
      <c r="E624" s="106" t="str">
        <f ca="1">IF(ISBLANK(OFFSET('Data Table'!$A619,2,Settings!$G$5)),"",OFFSET('Data Table'!$A619,2,Settings!$G$5))</f>
        <v/>
      </c>
      <c r="F624" s="143" t="str">
        <f ca="1">IF(ISBLANK(OFFSET('Data Table'!$A619,2,Settings!$G$5+1)),"",OFFSET('Data Table'!$A619,2,Settings!$G$5+1))</f>
        <v/>
      </c>
      <c r="G624">
        <f t="shared" ca="1" si="9"/>
        <v>11</v>
      </c>
      <c r="H624">
        <f ca="1">IF(G624=-888,"",IF(G624=-999,Settings!$G$4,IF(AND($AA$6="Excluded",G624&gt;=Settings!$G$2),"",G624)))</f>
        <v>11</v>
      </c>
      <c r="I624">
        <f ca="1">IF(OR(G624=-999,G624=-888,AND($AA$6="Excluded",G624&gt;=Settings!$G$2)),"",G624)</f>
        <v>11</v>
      </c>
      <c r="O624" s="46"/>
    </row>
    <row r="625" spans="1:15" x14ac:dyDescent="0.2">
      <c r="A625" s="1">
        <v>620</v>
      </c>
      <c r="B625" t="str">
        <f>IF(ISERROR(MATCH(TRIM('Data Table'!D622),Settings!$G$15:$G$20,0)),TRIM('Data Table'!D622),LOOKUP(TRIM('Data Table'!D622),Settings!$G$15:$G$20,Settings!$H$15:$H$20))</f>
        <v>Forsyth</v>
      </c>
      <c r="C625" t="str">
        <f>IF('Data Table'!F622="","SS",IF('Data Table'!F622="SF","SD",TRIM('Data Table'!F622)))</f>
        <v>SD</v>
      </c>
      <c r="D625" s="106">
        <f ca="1">IF(ISBLANK(OFFSET('Data Table'!$A620,2,Settings!$G$5-1)),"",OFFSET('Data Table'!$A620,2,Settings!$G$5-1))</f>
        <v>4.7</v>
      </c>
      <c r="E625" s="106" t="str">
        <f ca="1">IF(ISBLANK(OFFSET('Data Table'!$A620,2,Settings!$G$5)),"",OFFSET('Data Table'!$A620,2,Settings!$G$5))</f>
        <v/>
      </c>
      <c r="F625" s="143" t="str">
        <f ca="1">IF(ISBLANK(OFFSET('Data Table'!$A620,2,Settings!$G$5+1)),"",OFFSET('Data Table'!$A620,2,Settings!$G$5+1))</f>
        <v/>
      </c>
      <c r="G625">
        <f t="shared" ca="1" si="9"/>
        <v>4.7</v>
      </c>
      <c r="H625">
        <f ca="1">IF(G625=-888,"",IF(G625=-999,Settings!$G$4,IF(AND($AA$6="Excluded",G625&gt;=Settings!$G$2),"",G625)))</f>
        <v>4.7</v>
      </c>
      <c r="I625">
        <f ca="1">IF(OR(G625=-999,G625=-888,AND($AA$6="Excluded",G625&gt;=Settings!$G$2)),"",G625)</f>
        <v>4.7</v>
      </c>
      <c r="O625" s="46"/>
    </row>
    <row r="626" spans="1:15" x14ac:dyDescent="0.2">
      <c r="A626" s="1">
        <v>621</v>
      </c>
      <c r="B626" t="str">
        <f>IF(ISERROR(MATCH(TRIM('Data Table'!D623),Settings!$G$15:$G$20,0)),TRIM('Data Table'!D623),LOOKUP(TRIM('Data Table'!D623),Settings!$G$15:$G$20,Settings!$H$15:$H$20))</f>
        <v>Forsyth</v>
      </c>
      <c r="C626" t="str">
        <f>IF('Data Table'!F623="","SS",IF('Data Table'!F623="SF","SD",TRIM('Data Table'!F623)))</f>
        <v>SD</v>
      </c>
      <c r="D626" s="106">
        <f ca="1">IF(ISBLANK(OFFSET('Data Table'!$A621,2,Settings!$G$5-1)),"",OFFSET('Data Table'!$A621,2,Settings!$G$5-1))</f>
        <v>22</v>
      </c>
      <c r="E626" s="106" t="str">
        <f ca="1">IF(ISBLANK(OFFSET('Data Table'!$A621,2,Settings!$G$5)),"",OFFSET('Data Table'!$A621,2,Settings!$G$5))</f>
        <v/>
      </c>
      <c r="F626" s="143" t="str">
        <f ca="1">IF(ISBLANK(OFFSET('Data Table'!$A621,2,Settings!$G$5+1)),"",OFFSET('Data Table'!$A621,2,Settings!$G$5+1))</f>
        <v/>
      </c>
      <c r="G626">
        <f t="shared" ca="1" si="9"/>
        <v>22</v>
      </c>
      <c r="H626">
        <f ca="1">IF(G626=-888,"",IF(G626=-999,Settings!$G$4,IF(AND($AA$6="Excluded",G626&gt;=Settings!$G$2),"",G626)))</f>
        <v>22</v>
      </c>
      <c r="I626">
        <f ca="1">IF(OR(G626=-999,G626=-888,AND($AA$6="Excluded",G626&gt;=Settings!$G$2)),"",G626)</f>
        <v>22</v>
      </c>
      <c r="O626" s="46"/>
    </row>
    <row r="627" spans="1:15" x14ac:dyDescent="0.2">
      <c r="A627" s="1">
        <v>622</v>
      </c>
      <c r="B627" t="str">
        <f>IF(ISERROR(MATCH(TRIM('Data Table'!D624),Settings!$G$15:$G$20,0)),TRIM('Data Table'!D624),LOOKUP(TRIM('Data Table'!D624),Settings!$G$15:$G$20,Settings!$H$15:$H$20))</f>
        <v>Forsyth</v>
      </c>
      <c r="C627" t="str">
        <f>IF('Data Table'!F624="","SS",IF('Data Table'!F624="SF","SD",TRIM('Data Table'!F624)))</f>
        <v>SD</v>
      </c>
      <c r="D627" s="106">
        <f ca="1">IF(ISBLANK(OFFSET('Data Table'!$A622,2,Settings!$G$5-1)),"",OFFSET('Data Table'!$A622,2,Settings!$G$5-1))</f>
        <v>18</v>
      </c>
      <c r="E627" s="106" t="str">
        <f ca="1">IF(ISBLANK(OFFSET('Data Table'!$A622,2,Settings!$G$5)),"",OFFSET('Data Table'!$A622,2,Settings!$G$5))</f>
        <v/>
      </c>
      <c r="F627" s="143" t="str">
        <f ca="1">IF(ISBLANK(OFFSET('Data Table'!$A622,2,Settings!$G$5+1)),"",OFFSET('Data Table'!$A622,2,Settings!$G$5+1))</f>
        <v/>
      </c>
      <c r="G627">
        <f t="shared" ca="1" si="9"/>
        <v>18</v>
      </c>
      <c r="H627">
        <f ca="1">IF(G627=-888,"",IF(G627=-999,Settings!$G$4,IF(AND($AA$6="Excluded",G627&gt;=Settings!$G$2),"",G627)))</f>
        <v>18</v>
      </c>
      <c r="I627">
        <f ca="1">IF(OR(G627=-999,G627=-888,AND($AA$6="Excluded",G627&gt;=Settings!$G$2)),"",G627)</f>
        <v>18</v>
      </c>
      <c r="O627" s="46"/>
    </row>
    <row r="628" spans="1:15" x14ac:dyDescent="0.2">
      <c r="A628" s="1">
        <v>623</v>
      </c>
      <c r="B628" t="str">
        <f>IF(ISERROR(MATCH(TRIM('Data Table'!D625),Settings!$G$15:$G$20,0)),TRIM('Data Table'!D625),LOOKUP(TRIM('Data Table'!D625),Settings!$G$15:$G$20,Settings!$H$15:$H$20))</f>
        <v>Forsyth</v>
      </c>
      <c r="C628" t="str">
        <f>IF('Data Table'!F625="","SS",IF('Data Table'!F625="SF","SD",TRIM('Data Table'!F625)))</f>
        <v>SD</v>
      </c>
      <c r="D628" s="106">
        <f ca="1">IF(ISBLANK(OFFSET('Data Table'!$A623,2,Settings!$G$5-1)),"",OFFSET('Data Table'!$A623,2,Settings!$G$5-1))</f>
        <v>45</v>
      </c>
      <c r="E628" s="106" t="str">
        <f ca="1">IF(ISBLANK(OFFSET('Data Table'!$A623,2,Settings!$G$5)),"",OFFSET('Data Table'!$A623,2,Settings!$G$5))</f>
        <v/>
      </c>
      <c r="F628" s="143" t="str">
        <f ca="1">IF(ISBLANK(OFFSET('Data Table'!$A623,2,Settings!$G$5+1)),"",OFFSET('Data Table'!$A623,2,Settings!$G$5+1))</f>
        <v/>
      </c>
      <c r="G628">
        <f t="shared" ca="1" si="9"/>
        <v>45</v>
      </c>
      <c r="H628">
        <f ca="1">IF(G628=-888,"",IF(G628=-999,Settings!$G$4,IF(AND($AA$6="Excluded",G628&gt;=Settings!$G$2),"",G628)))</f>
        <v>45</v>
      </c>
      <c r="I628">
        <f ca="1">IF(OR(G628=-999,G628=-888,AND($AA$6="Excluded",G628&gt;=Settings!$G$2)),"",G628)</f>
        <v>45</v>
      </c>
      <c r="O628" s="46"/>
    </row>
    <row r="629" spans="1:15" x14ac:dyDescent="0.2">
      <c r="A629" s="1">
        <v>624</v>
      </c>
      <c r="B629" t="str">
        <f>IF(ISERROR(MATCH(TRIM('Data Table'!D626),Settings!$G$15:$G$20,0)),TRIM('Data Table'!D626),LOOKUP(TRIM('Data Table'!D626),Settings!$G$15:$G$20,Settings!$H$15:$H$20))</f>
        <v>Forsyth</v>
      </c>
      <c r="C629" t="str">
        <f>IF('Data Table'!F626="","SS",IF('Data Table'!F626="SF","SD",TRIM('Data Table'!F626)))</f>
        <v>SD</v>
      </c>
      <c r="D629" s="106">
        <f ca="1">IF(ISBLANK(OFFSET('Data Table'!$A624,2,Settings!$G$5-1)),"",OFFSET('Data Table'!$A624,2,Settings!$G$5-1))</f>
        <v>7.7</v>
      </c>
      <c r="E629" s="106" t="str">
        <f ca="1">IF(ISBLANK(OFFSET('Data Table'!$A624,2,Settings!$G$5)),"",OFFSET('Data Table'!$A624,2,Settings!$G$5))</f>
        <v/>
      </c>
      <c r="F629" s="143" t="str">
        <f ca="1">IF(ISBLANK(OFFSET('Data Table'!$A624,2,Settings!$G$5+1)),"",OFFSET('Data Table'!$A624,2,Settings!$G$5+1))</f>
        <v/>
      </c>
      <c r="G629">
        <f t="shared" ca="1" si="9"/>
        <v>7.7</v>
      </c>
      <c r="H629">
        <f ca="1">IF(G629=-888,"",IF(G629=-999,Settings!$G$4,IF(AND($AA$6="Excluded",G629&gt;=Settings!$G$2),"",G629)))</f>
        <v>7.7</v>
      </c>
      <c r="I629">
        <f ca="1">IF(OR(G629=-999,G629=-888,AND($AA$6="Excluded",G629&gt;=Settings!$G$2)),"",G629)</f>
        <v>7.7</v>
      </c>
      <c r="O629" s="46"/>
    </row>
    <row r="630" spans="1:15" x14ac:dyDescent="0.2">
      <c r="A630" s="1">
        <v>625</v>
      </c>
      <c r="B630" t="str">
        <f>IF(ISERROR(MATCH(TRIM('Data Table'!D627),Settings!$G$15:$G$20,0)),TRIM('Data Table'!D627),LOOKUP(TRIM('Data Table'!D627),Settings!$G$15:$G$20,Settings!$H$15:$H$20))</f>
        <v>Forsyth</v>
      </c>
      <c r="C630" t="str">
        <f>IF('Data Table'!F627="","SS",IF('Data Table'!F627="SF","SD",TRIM('Data Table'!F627)))</f>
        <v>SD</v>
      </c>
      <c r="D630" s="106" t="str">
        <f ca="1">IF(ISBLANK(OFFSET('Data Table'!$A625,2,Settings!$G$5-1)),"",OFFSET('Data Table'!$A625,2,Settings!$G$5-1))</f>
        <v/>
      </c>
      <c r="E630" s="106">
        <f ca="1">IF(ISBLANK(OFFSET('Data Table'!$A625,2,Settings!$G$5)),"",OFFSET('Data Table'!$A625,2,Settings!$G$5))</f>
        <v>66.239999999999995</v>
      </c>
      <c r="F630" s="143" t="str">
        <f ca="1">IF(ISBLANK(OFFSET('Data Table'!$A625,2,Settings!$G$5+1)),"",OFFSET('Data Table'!$A625,2,Settings!$G$5+1))</f>
        <v/>
      </c>
      <c r="G630">
        <f t="shared" ca="1" si="9"/>
        <v>66.239999999999995</v>
      </c>
      <c r="H630">
        <f ca="1">IF(G630=-888,"",IF(G630=-999,Settings!$G$4,IF(AND($AA$6="Excluded",G630&gt;=Settings!$G$2),"",G630)))</f>
        <v>66.239999999999995</v>
      </c>
      <c r="I630">
        <f ca="1">IF(OR(G630=-999,G630=-888,AND($AA$6="Excluded",G630&gt;=Settings!$G$2)),"",G630)</f>
        <v>66.239999999999995</v>
      </c>
      <c r="O630" s="46"/>
    </row>
    <row r="631" spans="1:15" x14ac:dyDescent="0.2">
      <c r="A631" s="1">
        <v>626</v>
      </c>
      <c r="B631" t="str">
        <f>IF(ISERROR(MATCH(TRIM('Data Table'!D628),Settings!$G$15:$G$20,0)),TRIM('Data Table'!D628),LOOKUP(TRIM('Data Table'!D628),Settings!$G$15:$G$20,Settings!$H$15:$H$20))</f>
        <v>Forsyth</v>
      </c>
      <c r="C631" t="str">
        <f>IF('Data Table'!F628="","SS",IF('Data Table'!F628="SF","SD",TRIM('Data Table'!F628)))</f>
        <v>SS</v>
      </c>
      <c r="D631" s="106">
        <f ca="1">IF(ISBLANK(OFFSET('Data Table'!$A626,2,Settings!$G$5-1)),"",OFFSET('Data Table'!$A626,2,Settings!$G$5-1))</f>
        <v>27</v>
      </c>
      <c r="E631" s="106" t="str">
        <f ca="1">IF(ISBLANK(OFFSET('Data Table'!$A626,2,Settings!$G$5)),"",OFFSET('Data Table'!$A626,2,Settings!$G$5))</f>
        <v/>
      </c>
      <c r="F631" s="143" t="str">
        <f ca="1">IF(ISBLANK(OFFSET('Data Table'!$A626,2,Settings!$G$5+1)),"",OFFSET('Data Table'!$A626,2,Settings!$G$5+1))</f>
        <v/>
      </c>
      <c r="G631">
        <f t="shared" ca="1" si="9"/>
        <v>27</v>
      </c>
      <c r="H631">
        <f ca="1">IF(G631=-888,"",IF(G631=-999,Settings!$G$4,IF(AND($AA$6="Excluded",G631&gt;=Settings!$G$2),"",G631)))</f>
        <v>27</v>
      </c>
      <c r="I631">
        <f ca="1">IF(OR(G631=-999,G631=-888,AND($AA$6="Excluded",G631&gt;=Settings!$G$2)),"",G631)</f>
        <v>27</v>
      </c>
      <c r="O631" s="46"/>
    </row>
    <row r="632" spans="1:15" x14ac:dyDescent="0.2">
      <c r="A632" s="1">
        <v>627</v>
      </c>
      <c r="B632" t="str">
        <f>IF(ISERROR(MATCH(TRIM('Data Table'!D629),Settings!$G$15:$G$20,0)),TRIM('Data Table'!D629),LOOKUP(TRIM('Data Table'!D629),Settings!$G$15:$G$20,Settings!$H$15:$H$20))</f>
        <v>Forsyth</v>
      </c>
      <c r="C632" t="str">
        <f>IF('Data Table'!F629="","SS",IF('Data Table'!F629="SF","SD",TRIM('Data Table'!F629)))</f>
        <v>SS</v>
      </c>
      <c r="D632" s="106">
        <f ca="1">IF(ISBLANK(OFFSET('Data Table'!$A627,2,Settings!$G$5-1)),"",OFFSET('Data Table'!$A627,2,Settings!$G$5-1))</f>
        <v>25</v>
      </c>
      <c r="E632" s="106" t="str">
        <f ca="1">IF(ISBLANK(OFFSET('Data Table'!$A627,2,Settings!$G$5)),"",OFFSET('Data Table'!$A627,2,Settings!$G$5))</f>
        <v/>
      </c>
      <c r="F632" s="143" t="str">
        <f ca="1">IF(ISBLANK(OFFSET('Data Table'!$A627,2,Settings!$G$5+1)),"",OFFSET('Data Table'!$A627,2,Settings!$G$5+1))</f>
        <v/>
      </c>
      <c r="G632">
        <f t="shared" ca="1" si="9"/>
        <v>25</v>
      </c>
      <c r="H632">
        <f ca="1">IF(G632=-888,"",IF(G632=-999,Settings!$G$4,IF(AND($AA$6="Excluded",G632&gt;=Settings!$G$2),"",G632)))</f>
        <v>25</v>
      </c>
      <c r="I632">
        <f ca="1">IF(OR(G632=-999,G632=-888,AND($AA$6="Excluded",G632&gt;=Settings!$G$2)),"",G632)</f>
        <v>25</v>
      </c>
      <c r="O632" s="46"/>
    </row>
    <row r="633" spans="1:15" x14ac:dyDescent="0.2">
      <c r="A633" s="1">
        <v>628</v>
      </c>
      <c r="B633" t="str">
        <f>IF(ISERROR(MATCH(TRIM('Data Table'!D630),Settings!$G$15:$G$20,0)),TRIM('Data Table'!D630),LOOKUP(TRIM('Data Table'!D630),Settings!$G$15:$G$20,Settings!$H$15:$H$20))</f>
        <v>Catawba</v>
      </c>
      <c r="C633" t="str">
        <f>IF('Data Table'!F630="","SS",IF('Data Table'!F630="SF","SD",TRIM('Data Table'!F630)))</f>
        <v>SS</v>
      </c>
      <c r="D633" s="106">
        <f ca="1">IF(ISBLANK(OFFSET('Data Table'!$A628,2,Settings!$G$5-1)),"",OFFSET('Data Table'!$A628,2,Settings!$G$5-1))</f>
        <v>85</v>
      </c>
      <c r="E633" s="106" t="str">
        <f ca="1">IF(ISBLANK(OFFSET('Data Table'!$A628,2,Settings!$G$5)),"",OFFSET('Data Table'!$A628,2,Settings!$G$5))</f>
        <v/>
      </c>
      <c r="F633" s="143" t="str">
        <f ca="1">IF(ISBLANK(OFFSET('Data Table'!$A628,2,Settings!$G$5+1)),"",OFFSET('Data Table'!$A628,2,Settings!$G$5+1))</f>
        <v/>
      </c>
      <c r="G633">
        <f t="shared" ca="1" si="9"/>
        <v>85</v>
      </c>
      <c r="H633">
        <f ca="1">IF(G633=-888,"",IF(G633=-999,Settings!$G$4,IF(AND($AA$6="Excluded",G633&gt;=Settings!$G$2),"",G633)))</f>
        <v>85</v>
      </c>
      <c r="I633">
        <f ca="1">IF(OR(G633=-999,G633=-888,AND($AA$6="Excluded",G633&gt;=Settings!$G$2)),"",G633)</f>
        <v>85</v>
      </c>
      <c r="O633" s="46"/>
    </row>
    <row r="634" spans="1:15" x14ac:dyDescent="0.2">
      <c r="A634" s="1">
        <v>629</v>
      </c>
      <c r="B634" t="str">
        <f>IF(ISERROR(MATCH(TRIM('Data Table'!D631),Settings!$G$15:$G$20,0)),TRIM('Data Table'!D631),LOOKUP(TRIM('Data Table'!D631),Settings!$G$15:$G$20,Settings!$H$15:$H$20))</f>
        <v>Brunswick</v>
      </c>
      <c r="C634" t="str">
        <f>IF('Data Table'!F631="","SS",IF('Data Table'!F631="SF","SD",TRIM('Data Table'!F631)))</f>
        <v>SS</v>
      </c>
      <c r="D634" s="106" t="str">
        <f ca="1">IF(ISBLANK(OFFSET('Data Table'!$A629,2,Settings!$G$5-1)),"",OFFSET('Data Table'!$A629,2,Settings!$G$5-1))</f>
        <v>#</v>
      </c>
      <c r="E634" s="106" t="str">
        <f ca="1">IF(ISBLANK(OFFSET('Data Table'!$A629,2,Settings!$G$5)),"",OFFSET('Data Table'!$A629,2,Settings!$G$5))</f>
        <v/>
      </c>
      <c r="F634" s="143" t="str">
        <f ca="1">IF(ISBLANK(OFFSET('Data Table'!$A629,2,Settings!$G$5+1)),"",OFFSET('Data Table'!$A629,2,Settings!$G$5+1))</f>
        <v/>
      </c>
      <c r="G634">
        <f t="shared" ca="1" si="9"/>
        <v>-999</v>
      </c>
      <c r="H634">
        <f ca="1">IF(G634=-888,"",IF(G634=-999,Settings!$G$4,IF(AND($AA$6="Excluded",G634&gt;=Settings!$G$2),"",G634)))</f>
        <v>5.0000000000000001E-3</v>
      </c>
      <c r="I634" t="str">
        <f ca="1">IF(OR(G634=-999,G634=-888,AND($AA$6="Excluded",G634&gt;=Settings!$G$2)),"",G634)</f>
        <v/>
      </c>
      <c r="O634" s="46"/>
    </row>
    <row r="635" spans="1:15" x14ac:dyDescent="0.2">
      <c r="A635" s="1">
        <v>630</v>
      </c>
      <c r="B635" t="str">
        <f>IF(ISERROR(MATCH(TRIM('Data Table'!D632),Settings!$G$15:$G$20,0)),TRIM('Data Table'!D632),LOOKUP(TRIM('Data Table'!D632),Settings!$G$15:$G$20,Settings!$H$15:$H$20))</f>
        <v>Brunswick</v>
      </c>
      <c r="C635" t="str">
        <f>IF('Data Table'!F632="","SS",IF('Data Table'!F632="SF","SD",TRIM('Data Table'!F632)))</f>
        <v>SS</v>
      </c>
      <c r="D635" s="106" t="str">
        <f ca="1">IF(ISBLANK(OFFSET('Data Table'!$A630,2,Settings!$G$5-1)),"",OFFSET('Data Table'!$A630,2,Settings!$G$5-1))</f>
        <v>#</v>
      </c>
      <c r="E635" s="106" t="str">
        <f ca="1">IF(ISBLANK(OFFSET('Data Table'!$A630,2,Settings!$G$5)),"",OFFSET('Data Table'!$A630,2,Settings!$G$5))</f>
        <v/>
      </c>
      <c r="F635" s="143" t="str">
        <f ca="1">IF(ISBLANK(OFFSET('Data Table'!$A630,2,Settings!$G$5+1)),"",OFFSET('Data Table'!$A630,2,Settings!$G$5+1))</f>
        <v/>
      </c>
      <c r="G635">
        <f t="shared" ca="1" si="9"/>
        <v>-999</v>
      </c>
      <c r="H635">
        <f ca="1">IF(G635=-888,"",IF(G635=-999,Settings!$G$4,IF(AND($AA$6="Excluded",G635&gt;=Settings!$G$2),"",G635)))</f>
        <v>5.0000000000000001E-3</v>
      </c>
      <c r="I635" t="str">
        <f ca="1">IF(OR(G635=-999,G635=-888,AND($AA$6="Excluded",G635&gt;=Settings!$G$2)),"",G635)</f>
        <v/>
      </c>
      <c r="O635" s="46"/>
    </row>
    <row r="636" spans="1:15" x14ac:dyDescent="0.2">
      <c r="A636" s="1">
        <v>631</v>
      </c>
      <c r="B636" t="str">
        <f>IF(ISERROR(MATCH(TRIM('Data Table'!D633),Settings!$G$15:$G$20,0)),TRIM('Data Table'!D633),LOOKUP(TRIM('Data Table'!D633),Settings!$G$15:$G$20,Settings!$H$15:$H$20))</f>
        <v>Brunswick</v>
      </c>
      <c r="C636" t="str">
        <f>IF('Data Table'!F633="","SS",IF('Data Table'!F633="SF","SD",TRIM('Data Table'!F633)))</f>
        <v>SS</v>
      </c>
      <c r="D636" s="106" t="str">
        <f ca="1">IF(ISBLANK(OFFSET('Data Table'!$A631,2,Settings!$G$5-1)),"",OFFSET('Data Table'!$A631,2,Settings!$G$5-1))</f>
        <v>#</v>
      </c>
      <c r="E636" s="106" t="str">
        <f ca="1">IF(ISBLANK(OFFSET('Data Table'!$A631,2,Settings!$G$5)),"",OFFSET('Data Table'!$A631,2,Settings!$G$5))</f>
        <v/>
      </c>
      <c r="F636" s="143" t="str">
        <f ca="1">IF(ISBLANK(OFFSET('Data Table'!$A631,2,Settings!$G$5+1)),"",OFFSET('Data Table'!$A631,2,Settings!$G$5+1))</f>
        <v/>
      </c>
      <c r="G636">
        <f t="shared" ca="1" si="9"/>
        <v>-999</v>
      </c>
      <c r="H636">
        <f ca="1">IF(G636=-888,"",IF(G636=-999,Settings!$G$4,IF(AND($AA$6="Excluded",G636&gt;=Settings!$G$2),"",G636)))</f>
        <v>5.0000000000000001E-3</v>
      </c>
      <c r="I636" t="str">
        <f ca="1">IF(OR(G636=-999,G636=-888,AND($AA$6="Excluded",G636&gt;=Settings!$G$2)),"",G636)</f>
        <v/>
      </c>
      <c r="O636" s="46"/>
    </row>
    <row r="637" spans="1:15" x14ac:dyDescent="0.2">
      <c r="A637" s="1">
        <v>632</v>
      </c>
      <c r="B637" t="str">
        <f>IF(ISERROR(MATCH(TRIM('Data Table'!D634),Settings!$G$15:$G$20,0)),TRIM('Data Table'!D634),LOOKUP(TRIM('Data Table'!D634),Settings!$G$15:$G$20,Settings!$H$15:$H$20))</f>
        <v>Brunswick</v>
      </c>
      <c r="C637" t="str">
        <f>IF('Data Table'!F634="","SS",IF('Data Table'!F634="SF","SD",TRIM('Data Table'!F634)))</f>
        <v>SS</v>
      </c>
      <c r="D637" s="106" t="str">
        <f ca="1">IF(ISBLANK(OFFSET('Data Table'!$A632,2,Settings!$G$5-1)),"",OFFSET('Data Table'!$A632,2,Settings!$G$5-1))</f>
        <v>#</v>
      </c>
      <c r="E637" s="106" t="str">
        <f ca="1">IF(ISBLANK(OFFSET('Data Table'!$A632,2,Settings!$G$5)),"",OFFSET('Data Table'!$A632,2,Settings!$G$5))</f>
        <v/>
      </c>
      <c r="F637" s="143" t="str">
        <f ca="1">IF(ISBLANK(OFFSET('Data Table'!$A632,2,Settings!$G$5+1)),"",OFFSET('Data Table'!$A632,2,Settings!$G$5+1))</f>
        <v/>
      </c>
      <c r="G637">
        <f t="shared" ca="1" si="9"/>
        <v>-999</v>
      </c>
      <c r="H637">
        <f ca="1">IF(G637=-888,"",IF(G637=-999,Settings!$G$4,IF(AND($AA$6="Excluded",G637&gt;=Settings!$G$2),"",G637)))</f>
        <v>5.0000000000000001E-3</v>
      </c>
      <c r="I637" t="str">
        <f ca="1">IF(OR(G637=-999,G637=-888,AND($AA$6="Excluded",G637&gt;=Settings!$G$2)),"",G637)</f>
        <v/>
      </c>
      <c r="O637" s="46"/>
    </row>
    <row r="638" spans="1:15" x14ac:dyDescent="0.2">
      <c r="A638" s="1">
        <v>633</v>
      </c>
      <c r="B638" t="str">
        <f>IF(ISERROR(MATCH(TRIM('Data Table'!D635),Settings!$G$15:$G$20,0)),TRIM('Data Table'!D635),LOOKUP(TRIM('Data Table'!D635),Settings!$G$15:$G$20,Settings!$H$15:$H$20))</f>
        <v>Gaston</v>
      </c>
      <c r="C638" t="str">
        <f>IF('Data Table'!F635="","SS",IF('Data Table'!F635="SF","SD",TRIM('Data Table'!F635)))</f>
        <v>SS</v>
      </c>
      <c r="D638" s="106">
        <f ca="1">IF(ISBLANK(OFFSET('Data Table'!$A633,2,Settings!$G$5-1)),"",OFFSET('Data Table'!$A633,2,Settings!$G$5-1))</f>
        <v>37</v>
      </c>
      <c r="E638" s="106" t="str">
        <f ca="1">IF(ISBLANK(OFFSET('Data Table'!$A633,2,Settings!$G$5)),"",OFFSET('Data Table'!$A633,2,Settings!$G$5))</f>
        <v/>
      </c>
      <c r="F638" s="143" t="str">
        <f ca="1">IF(ISBLANK(OFFSET('Data Table'!$A633,2,Settings!$G$5+1)),"",OFFSET('Data Table'!$A633,2,Settings!$G$5+1))</f>
        <v/>
      </c>
      <c r="G638">
        <f t="shared" ca="1" si="9"/>
        <v>37</v>
      </c>
      <c r="H638">
        <f ca="1">IF(G638=-888,"",IF(G638=-999,Settings!$G$4,IF(AND($AA$6="Excluded",G638&gt;=Settings!$G$2),"",G638)))</f>
        <v>37</v>
      </c>
      <c r="I638">
        <f ca="1">IF(OR(G638=-999,G638=-888,AND($AA$6="Excluded",G638&gt;=Settings!$G$2)),"",G638)</f>
        <v>37</v>
      </c>
      <c r="O638" s="46"/>
    </row>
    <row r="639" spans="1:15" x14ac:dyDescent="0.2">
      <c r="A639" s="1">
        <v>634</v>
      </c>
      <c r="B639" t="str">
        <f>IF(ISERROR(MATCH(TRIM('Data Table'!D636),Settings!$G$15:$G$20,0)),TRIM('Data Table'!D636),LOOKUP(TRIM('Data Table'!D636),Settings!$G$15:$G$20,Settings!$H$15:$H$20))</f>
        <v>Gaston</v>
      </c>
      <c r="C639" t="str">
        <f>IF('Data Table'!F636="","SS",IF('Data Table'!F636="SF","SD",TRIM('Data Table'!F636)))</f>
        <v>SS</v>
      </c>
      <c r="D639" s="106">
        <f ca="1">IF(ISBLANK(OFFSET('Data Table'!$A634,2,Settings!$G$5-1)),"",OFFSET('Data Table'!$A634,2,Settings!$G$5-1))</f>
        <v>26</v>
      </c>
      <c r="E639" s="106" t="str">
        <f ca="1">IF(ISBLANK(OFFSET('Data Table'!$A634,2,Settings!$G$5)),"",OFFSET('Data Table'!$A634,2,Settings!$G$5))</f>
        <v/>
      </c>
      <c r="F639" s="143" t="str">
        <f ca="1">IF(ISBLANK(OFFSET('Data Table'!$A634,2,Settings!$G$5+1)),"",OFFSET('Data Table'!$A634,2,Settings!$G$5+1))</f>
        <v/>
      </c>
      <c r="G639">
        <f t="shared" ca="1" si="9"/>
        <v>26</v>
      </c>
      <c r="H639">
        <f ca="1">IF(G639=-888,"",IF(G639=-999,Settings!$G$4,IF(AND($AA$6="Excluded",G639&gt;=Settings!$G$2),"",G639)))</f>
        <v>26</v>
      </c>
      <c r="I639">
        <f ca="1">IF(OR(G639=-999,G639=-888,AND($AA$6="Excluded",G639&gt;=Settings!$G$2)),"",G639)</f>
        <v>26</v>
      </c>
      <c r="O639" s="46"/>
    </row>
    <row r="640" spans="1:15" x14ac:dyDescent="0.2">
      <c r="A640" s="1">
        <v>635</v>
      </c>
      <c r="B640" t="str">
        <f>IF(ISERROR(MATCH(TRIM('Data Table'!D637),Settings!$G$15:$G$20,0)),TRIM('Data Table'!D637),LOOKUP(TRIM('Data Table'!D637),Settings!$G$15:$G$20,Settings!$H$15:$H$20))</f>
        <v>Gaston</v>
      </c>
      <c r="C640" t="str">
        <f>IF('Data Table'!F637="","SS",IF('Data Table'!F637="SF","SD",TRIM('Data Table'!F637)))</f>
        <v>SS</v>
      </c>
      <c r="D640" s="106">
        <f ca="1">IF(ISBLANK(OFFSET('Data Table'!$A635,2,Settings!$G$5-1)),"",OFFSET('Data Table'!$A635,2,Settings!$G$5-1))</f>
        <v>21</v>
      </c>
      <c r="E640" s="106" t="str">
        <f ca="1">IF(ISBLANK(OFFSET('Data Table'!$A635,2,Settings!$G$5)),"",OFFSET('Data Table'!$A635,2,Settings!$G$5))</f>
        <v/>
      </c>
      <c r="F640" s="143" t="str">
        <f ca="1">IF(ISBLANK(OFFSET('Data Table'!$A635,2,Settings!$G$5+1)),"",OFFSET('Data Table'!$A635,2,Settings!$G$5+1))</f>
        <v/>
      </c>
      <c r="G640">
        <f t="shared" ca="1" si="9"/>
        <v>21</v>
      </c>
      <c r="H640">
        <f ca="1">IF(G640=-888,"",IF(G640=-999,Settings!$G$4,IF(AND($AA$6="Excluded",G640&gt;=Settings!$G$2),"",G640)))</f>
        <v>21</v>
      </c>
      <c r="I640">
        <f ca="1">IF(OR(G640=-999,G640=-888,AND($AA$6="Excluded",G640&gt;=Settings!$G$2)),"",G640)</f>
        <v>21</v>
      </c>
      <c r="O640" s="46"/>
    </row>
    <row r="641" spans="1:15" x14ac:dyDescent="0.2">
      <c r="A641" s="1">
        <v>636</v>
      </c>
      <c r="B641" t="str">
        <f>IF(ISERROR(MATCH(TRIM('Data Table'!D638),Settings!$G$15:$G$20,0)),TRIM('Data Table'!D638),LOOKUP(TRIM('Data Table'!D638),Settings!$G$15:$G$20,Settings!$H$15:$H$20))</f>
        <v>Gaston</v>
      </c>
      <c r="C641" t="str">
        <f>IF('Data Table'!F638="","SS",IF('Data Table'!F638="SF","SD",TRIM('Data Table'!F638)))</f>
        <v>SS</v>
      </c>
      <c r="D641" s="106">
        <f ca="1">IF(ISBLANK(OFFSET('Data Table'!$A636,2,Settings!$G$5-1)),"",OFFSET('Data Table'!$A636,2,Settings!$G$5-1))</f>
        <v>21</v>
      </c>
      <c r="E641" s="106" t="str">
        <f ca="1">IF(ISBLANK(OFFSET('Data Table'!$A636,2,Settings!$G$5)),"",OFFSET('Data Table'!$A636,2,Settings!$G$5))</f>
        <v/>
      </c>
      <c r="F641" s="143" t="str">
        <f ca="1">IF(ISBLANK(OFFSET('Data Table'!$A636,2,Settings!$G$5+1)),"",OFFSET('Data Table'!$A636,2,Settings!$G$5+1))</f>
        <v/>
      </c>
      <c r="G641">
        <f t="shared" ca="1" si="9"/>
        <v>21</v>
      </c>
      <c r="H641">
        <f ca="1">IF(G641=-888,"",IF(G641=-999,Settings!$G$4,IF(AND($AA$6="Excluded",G641&gt;=Settings!$G$2),"",G641)))</f>
        <v>21</v>
      </c>
      <c r="I641">
        <f ca="1">IF(OR(G641=-999,G641=-888,AND($AA$6="Excluded",G641&gt;=Settings!$G$2)),"",G641)</f>
        <v>21</v>
      </c>
      <c r="O641" s="46"/>
    </row>
    <row r="642" spans="1:15" x14ac:dyDescent="0.2">
      <c r="A642" s="1">
        <v>637</v>
      </c>
      <c r="B642" t="str">
        <f>IF(ISERROR(MATCH(TRIM('Data Table'!D639),Settings!$G$15:$G$20,0)),TRIM('Data Table'!D639),LOOKUP(TRIM('Data Table'!D639),Settings!$G$15:$G$20,Settings!$H$15:$H$20))</f>
        <v>Gaston</v>
      </c>
      <c r="C642" t="str">
        <f>IF('Data Table'!F639="","SS",IF('Data Table'!F639="SF","SD",TRIM('Data Table'!F639)))</f>
        <v>SD</v>
      </c>
      <c r="D642" s="106" t="str">
        <f ca="1">IF(ISBLANK(OFFSET('Data Table'!$A637,2,Settings!$G$5-1)),"",OFFSET('Data Table'!$A637,2,Settings!$G$5-1))</f>
        <v/>
      </c>
      <c r="E642" s="106">
        <f ca="1">IF(ISBLANK(OFFSET('Data Table'!$A637,2,Settings!$G$5)),"",OFFSET('Data Table'!$A637,2,Settings!$G$5))</f>
        <v>3.5999999999999996</v>
      </c>
      <c r="F642" s="143" t="str">
        <f ca="1">IF(ISBLANK(OFFSET('Data Table'!$A637,2,Settings!$G$5+1)),"",OFFSET('Data Table'!$A637,2,Settings!$G$5+1))</f>
        <v/>
      </c>
      <c r="G642">
        <f t="shared" ca="1" si="9"/>
        <v>3.5999999999999996</v>
      </c>
      <c r="H642">
        <f ca="1">IF(G642=-888,"",IF(G642=-999,Settings!$G$4,IF(AND($AA$6="Excluded",G642&gt;=Settings!$G$2),"",G642)))</f>
        <v>3.5999999999999996</v>
      </c>
      <c r="I642">
        <f ca="1">IF(OR(G642=-999,G642=-888,AND($AA$6="Excluded",G642&gt;=Settings!$G$2)),"",G642)</f>
        <v>3.5999999999999996</v>
      </c>
      <c r="O642" s="46"/>
    </row>
    <row r="643" spans="1:15" x14ac:dyDescent="0.2">
      <c r="A643" s="1">
        <v>638</v>
      </c>
      <c r="B643" t="str">
        <f>IF(ISERROR(MATCH(TRIM('Data Table'!D640),Settings!$G$15:$G$20,0)),TRIM('Data Table'!D640),LOOKUP(TRIM('Data Table'!D640),Settings!$G$15:$G$20,Settings!$H$15:$H$20))</f>
        <v>Gaston</v>
      </c>
      <c r="C643" t="str">
        <f>IF('Data Table'!F640="","SS",IF('Data Table'!F640="SF","SD",TRIM('Data Table'!F640)))</f>
        <v>SD</v>
      </c>
      <c r="D643" s="106" t="str">
        <f ca="1">IF(ISBLANK(OFFSET('Data Table'!$A638,2,Settings!$G$5-1)),"",OFFSET('Data Table'!$A638,2,Settings!$G$5-1))</f>
        <v/>
      </c>
      <c r="E643" s="106">
        <f ca="1">IF(ISBLANK(OFFSET('Data Table'!$A638,2,Settings!$G$5)),"",OFFSET('Data Table'!$A638,2,Settings!$G$5))</f>
        <v>10.368</v>
      </c>
      <c r="F643" s="143" t="str">
        <f ca="1">IF(ISBLANK(OFFSET('Data Table'!$A638,2,Settings!$G$5+1)),"",OFFSET('Data Table'!$A638,2,Settings!$G$5+1))</f>
        <v/>
      </c>
      <c r="G643">
        <f t="shared" ca="1" si="9"/>
        <v>10.368</v>
      </c>
      <c r="H643">
        <f ca="1">IF(G643=-888,"",IF(G643=-999,Settings!$G$4,IF(AND($AA$6="Excluded",G643&gt;=Settings!$G$2),"",G643)))</f>
        <v>10.368</v>
      </c>
      <c r="I643">
        <f ca="1">IF(OR(G643=-999,G643=-888,AND($AA$6="Excluded",G643&gt;=Settings!$G$2)),"",G643)</f>
        <v>10.368</v>
      </c>
      <c r="O643" s="46"/>
    </row>
    <row r="644" spans="1:15" x14ac:dyDescent="0.2">
      <c r="A644" s="1">
        <v>639</v>
      </c>
      <c r="B644" t="str">
        <f>IF(ISERROR(MATCH(TRIM('Data Table'!D641),Settings!$G$15:$G$20,0)),TRIM('Data Table'!D641),LOOKUP(TRIM('Data Table'!D641),Settings!$G$15:$G$20,Settings!$H$15:$H$20))</f>
        <v>Harnett</v>
      </c>
      <c r="C644" t="str">
        <f>IF('Data Table'!F641="","SS",IF('Data Table'!F641="SF","SD",TRIM('Data Table'!F641)))</f>
        <v>SS</v>
      </c>
      <c r="D644" s="106">
        <f ca="1">IF(ISBLANK(OFFSET('Data Table'!$A639,2,Settings!$G$5-1)),"",OFFSET('Data Table'!$A639,2,Settings!$G$5-1))</f>
        <v>12</v>
      </c>
      <c r="E644" s="106" t="str">
        <f ca="1">IF(ISBLANK(OFFSET('Data Table'!$A639,2,Settings!$G$5)),"",OFFSET('Data Table'!$A639,2,Settings!$G$5))</f>
        <v/>
      </c>
      <c r="F644" s="143" t="str">
        <f ca="1">IF(ISBLANK(OFFSET('Data Table'!$A639,2,Settings!$G$5+1)),"",OFFSET('Data Table'!$A639,2,Settings!$G$5+1))</f>
        <v/>
      </c>
      <c r="G644">
        <f t="shared" ca="1" si="9"/>
        <v>12</v>
      </c>
      <c r="H644">
        <f ca="1">IF(G644=-888,"",IF(G644=-999,Settings!$G$4,IF(AND($AA$6="Excluded",G644&gt;=Settings!$G$2),"",G644)))</f>
        <v>12</v>
      </c>
      <c r="I644">
        <f ca="1">IF(OR(G644=-999,G644=-888,AND($AA$6="Excluded",G644&gt;=Settings!$G$2)),"",G644)</f>
        <v>12</v>
      </c>
      <c r="O644" s="46"/>
    </row>
    <row r="645" spans="1:15" x14ac:dyDescent="0.2">
      <c r="A645" s="1">
        <v>640</v>
      </c>
      <c r="B645" t="str">
        <f>IF(ISERROR(MATCH(TRIM('Data Table'!D642),Settings!$G$15:$G$20,0)),TRIM('Data Table'!D642),LOOKUP(TRIM('Data Table'!D642),Settings!$G$15:$G$20,Settings!$H$15:$H$20))</f>
        <v>Harnett</v>
      </c>
      <c r="C645" t="str">
        <f>IF('Data Table'!F642="","SS",IF('Data Table'!F642="SF","SD",TRIM('Data Table'!F642)))</f>
        <v>SB</v>
      </c>
      <c r="D645" s="106">
        <f ca="1">IF(ISBLANK(OFFSET('Data Table'!$A640,2,Settings!$G$5-1)),"",OFFSET('Data Table'!$A640,2,Settings!$G$5-1))</f>
        <v>7.3</v>
      </c>
      <c r="E645" s="106" t="str">
        <f ca="1">IF(ISBLANK(OFFSET('Data Table'!$A640,2,Settings!$G$5)),"",OFFSET('Data Table'!$A640,2,Settings!$G$5))</f>
        <v/>
      </c>
      <c r="F645" s="143" t="str">
        <f ca="1">IF(ISBLANK(OFFSET('Data Table'!$A640,2,Settings!$G$5+1)),"",OFFSET('Data Table'!$A640,2,Settings!$G$5+1))</f>
        <v/>
      </c>
      <c r="G645">
        <f t="shared" ca="1" si="9"/>
        <v>7.3</v>
      </c>
      <c r="H645">
        <f ca="1">IF(G645=-888,"",IF(G645=-999,Settings!$G$4,IF(AND($AA$6="Excluded",G645&gt;=Settings!$G$2),"",G645)))</f>
        <v>7.3</v>
      </c>
      <c r="I645">
        <f ca="1">IF(OR(G645=-999,G645=-888,AND($AA$6="Excluded",G645&gt;=Settings!$G$2)),"",G645)</f>
        <v>7.3</v>
      </c>
      <c r="O645" s="46"/>
    </row>
    <row r="646" spans="1:15" x14ac:dyDescent="0.2">
      <c r="A646" s="1">
        <v>641</v>
      </c>
      <c r="B646" t="str">
        <f>IF(ISERROR(MATCH(TRIM('Data Table'!D643),Settings!$G$15:$G$20,0)),TRIM('Data Table'!D643),LOOKUP(TRIM('Data Table'!D643),Settings!$G$15:$G$20,Settings!$H$15:$H$20))</f>
        <v>Nash</v>
      </c>
      <c r="C646" t="str">
        <f>IF('Data Table'!F643="","SS",IF('Data Table'!F643="SF","SD",TRIM('Data Table'!F643)))</f>
        <v>SB</v>
      </c>
      <c r="D646" s="106">
        <f ca="1">IF(ISBLANK(OFFSET('Data Table'!$A641,2,Settings!$G$5-1)),"",OFFSET('Data Table'!$A641,2,Settings!$G$5-1))</f>
        <v>58.6</v>
      </c>
      <c r="E646" s="106" t="str">
        <f ca="1">IF(ISBLANK(OFFSET('Data Table'!$A641,2,Settings!$G$5)),"",OFFSET('Data Table'!$A641,2,Settings!$G$5))</f>
        <v/>
      </c>
      <c r="F646" s="143" t="str">
        <f ca="1">IF(ISBLANK(OFFSET('Data Table'!$A641,2,Settings!$G$5+1)),"",OFFSET('Data Table'!$A641,2,Settings!$G$5+1))</f>
        <v/>
      </c>
      <c r="G646">
        <f t="shared" ref="G646:G709" ca="1" si="10">IF(COUNTIF(SOIL_DEPTH,C646)=0,"",IF(OR(D646="#",E646="#",F646="#"),-999,IF(AND(D646="",E646="",F646=""),-888,IF(COUNT(D646:F646)&gt;1,"ERROR",MAX(D646:F646)))))</f>
        <v>58.6</v>
      </c>
      <c r="H646">
        <f ca="1">IF(G646=-888,"",IF(G646=-999,Settings!$G$4,IF(AND($AA$6="Excluded",G646&gt;=Settings!$G$2),"",G646)))</f>
        <v>58.6</v>
      </c>
      <c r="I646">
        <f ca="1">IF(OR(G646=-999,G646=-888,AND($AA$6="Excluded",G646&gt;=Settings!$G$2)),"",G646)</f>
        <v>58.6</v>
      </c>
      <c r="O646" s="46"/>
    </row>
    <row r="647" spans="1:15" x14ac:dyDescent="0.2">
      <c r="A647" s="1">
        <v>642</v>
      </c>
      <c r="B647" t="str">
        <f>IF(ISERROR(MATCH(TRIM('Data Table'!D644),Settings!$G$15:$G$20,0)),TRIM('Data Table'!D644),LOOKUP(TRIM('Data Table'!D644),Settings!$G$15:$G$20,Settings!$H$15:$H$20))</f>
        <v>Nash</v>
      </c>
      <c r="C647" t="str">
        <f>IF('Data Table'!F644="","SS",IF('Data Table'!F644="SF","SD",TRIM('Data Table'!F644)))</f>
        <v>SS</v>
      </c>
      <c r="D647" s="106">
        <f ca="1">IF(ISBLANK(OFFSET('Data Table'!$A642,2,Settings!$G$5-1)),"",OFFSET('Data Table'!$A642,2,Settings!$G$5-1))</f>
        <v>12.5</v>
      </c>
      <c r="E647" s="106" t="str">
        <f ca="1">IF(ISBLANK(OFFSET('Data Table'!$A642,2,Settings!$G$5)),"",OFFSET('Data Table'!$A642,2,Settings!$G$5))</f>
        <v/>
      </c>
      <c r="F647" s="143" t="str">
        <f ca="1">IF(ISBLANK(OFFSET('Data Table'!$A642,2,Settings!$G$5+1)),"",OFFSET('Data Table'!$A642,2,Settings!$G$5+1))</f>
        <v/>
      </c>
      <c r="G647">
        <f t="shared" ca="1" si="10"/>
        <v>12.5</v>
      </c>
      <c r="H647">
        <f ca="1">IF(G647=-888,"",IF(G647=-999,Settings!$G$4,IF(AND($AA$6="Excluded",G647&gt;=Settings!$G$2),"",G647)))</f>
        <v>12.5</v>
      </c>
      <c r="I647">
        <f ca="1">IF(OR(G647=-999,G647=-888,AND($AA$6="Excluded",G647&gt;=Settings!$G$2)),"",G647)</f>
        <v>12.5</v>
      </c>
      <c r="O647" s="46"/>
    </row>
    <row r="648" spans="1:15" x14ac:dyDescent="0.2">
      <c r="A648" s="1">
        <v>643</v>
      </c>
      <c r="B648" t="str">
        <f>IF(ISERROR(MATCH(TRIM('Data Table'!D645),Settings!$G$15:$G$20,0)),TRIM('Data Table'!D645),LOOKUP(TRIM('Data Table'!D645),Settings!$G$15:$G$20,Settings!$H$15:$H$20))</f>
        <v>Gaston</v>
      </c>
      <c r="C648" t="str">
        <f>IF('Data Table'!F645="","SS",IF('Data Table'!F645="SF","SD",TRIM('Data Table'!F645)))</f>
        <v>SD</v>
      </c>
      <c r="D648" s="106" t="str">
        <f ca="1">IF(ISBLANK(OFFSET('Data Table'!$A643,2,Settings!$G$5-1)),"",OFFSET('Data Table'!$A643,2,Settings!$G$5-1))</f>
        <v/>
      </c>
      <c r="E648" s="106" t="str">
        <f ca="1">IF(ISBLANK(OFFSET('Data Table'!$A643,2,Settings!$G$5)),"",OFFSET('Data Table'!$A643,2,Settings!$G$5))</f>
        <v/>
      </c>
      <c r="F648" s="143">
        <f ca="1">IF(ISBLANK(OFFSET('Data Table'!$A643,2,Settings!$G$5+1)),"",OFFSET('Data Table'!$A643,2,Settings!$G$5+1))</f>
        <v>10</v>
      </c>
      <c r="G648">
        <f t="shared" ca="1" si="10"/>
        <v>10</v>
      </c>
      <c r="H648">
        <f ca="1">IF(G648=-888,"",IF(G648=-999,Settings!$G$4,IF(AND($AA$6="Excluded",G648&gt;=Settings!$G$2),"",G648)))</f>
        <v>10</v>
      </c>
      <c r="I648">
        <f ca="1">IF(OR(G648=-999,G648=-888,AND($AA$6="Excluded",G648&gt;=Settings!$G$2)),"",G648)</f>
        <v>10</v>
      </c>
      <c r="O648" s="46"/>
    </row>
    <row r="649" spans="1:15" x14ac:dyDescent="0.2">
      <c r="A649" s="1">
        <v>644</v>
      </c>
      <c r="B649" t="str">
        <f>IF(ISERROR(MATCH(TRIM('Data Table'!D646),Settings!$G$15:$G$20,0)),TRIM('Data Table'!D646),LOOKUP(TRIM('Data Table'!D646),Settings!$G$15:$G$20,Settings!$H$15:$H$20))</f>
        <v>Gaston</v>
      </c>
      <c r="C649" t="str">
        <f>IF('Data Table'!F646="","SS",IF('Data Table'!F646="SF","SD",TRIM('Data Table'!F646)))</f>
        <v>SD</v>
      </c>
      <c r="D649" s="106" t="str">
        <f ca="1">IF(ISBLANK(OFFSET('Data Table'!$A644,2,Settings!$G$5-1)),"",OFFSET('Data Table'!$A644,2,Settings!$G$5-1))</f>
        <v/>
      </c>
      <c r="E649" s="106" t="str">
        <f ca="1">IF(ISBLANK(OFFSET('Data Table'!$A644,2,Settings!$G$5)),"",OFFSET('Data Table'!$A644,2,Settings!$G$5))</f>
        <v/>
      </c>
      <c r="F649" s="143">
        <f ca="1">IF(ISBLANK(OFFSET('Data Table'!$A644,2,Settings!$G$5+1)),"",OFFSET('Data Table'!$A644,2,Settings!$G$5+1))</f>
        <v>10</v>
      </c>
      <c r="G649">
        <f t="shared" ca="1" si="10"/>
        <v>10</v>
      </c>
      <c r="H649">
        <f ca="1">IF(G649=-888,"",IF(G649=-999,Settings!$G$4,IF(AND($AA$6="Excluded",G649&gt;=Settings!$G$2),"",G649)))</f>
        <v>10</v>
      </c>
      <c r="I649">
        <f ca="1">IF(OR(G649=-999,G649=-888,AND($AA$6="Excluded",G649&gt;=Settings!$G$2)),"",G649)</f>
        <v>10</v>
      </c>
      <c r="O649" s="46"/>
    </row>
    <row r="650" spans="1:15" x14ac:dyDescent="0.2">
      <c r="A650" s="1">
        <v>645</v>
      </c>
      <c r="B650" t="str">
        <f>IF(ISERROR(MATCH(TRIM('Data Table'!D647),Settings!$G$15:$G$20,0)),TRIM('Data Table'!D647),LOOKUP(TRIM('Data Table'!D647),Settings!$G$15:$G$20,Settings!$H$15:$H$20))</f>
        <v>Gaston</v>
      </c>
      <c r="C650" t="str">
        <f>IF('Data Table'!F647="","SS",IF('Data Table'!F647="SF","SD",TRIM('Data Table'!F647)))</f>
        <v>SD</v>
      </c>
      <c r="D650" s="106">
        <f ca="1">IF(ISBLANK(OFFSET('Data Table'!$A645,2,Settings!$G$5-1)),"",OFFSET('Data Table'!$A645,2,Settings!$G$5-1))</f>
        <v>14</v>
      </c>
      <c r="E650" s="106" t="str">
        <f ca="1">IF(ISBLANK(OFFSET('Data Table'!$A645,2,Settings!$G$5)),"",OFFSET('Data Table'!$A645,2,Settings!$G$5))</f>
        <v/>
      </c>
      <c r="F650" s="143" t="str">
        <f ca="1">IF(ISBLANK(OFFSET('Data Table'!$A645,2,Settings!$G$5+1)),"",OFFSET('Data Table'!$A645,2,Settings!$G$5+1))</f>
        <v/>
      </c>
      <c r="G650">
        <f t="shared" ca="1" si="10"/>
        <v>14</v>
      </c>
      <c r="H650">
        <f ca="1">IF(G650=-888,"",IF(G650=-999,Settings!$G$4,IF(AND($AA$6="Excluded",G650&gt;=Settings!$G$2),"",G650)))</f>
        <v>14</v>
      </c>
      <c r="I650">
        <f ca="1">IF(OR(G650=-999,G650=-888,AND($AA$6="Excluded",G650&gt;=Settings!$G$2)),"",G650)</f>
        <v>14</v>
      </c>
      <c r="O650" s="46"/>
    </row>
    <row r="651" spans="1:15" x14ac:dyDescent="0.2">
      <c r="A651" s="1">
        <v>646</v>
      </c>
      <c r="B651" t="str">
        <f>IF(ISERROR(MATCH(TRIM('Data Table'!D648),Settings!$G$15:$G$20,0)),TRIM('Data Table'!D648),LOOKUP(TRIM('Data Table'!D648),Settings!$G$15:$G$20,Settings!$H$15:$H$20))</f>
        <v>Gaston</v>
      </c>
      <c r="C651" t="str">
        <f>IF('Data Table'!F648="","SS",IF('Data Table'!F648="SF","SD",TRIM('Data Table'!F648)))</f>
        <v>SD</v>
      </c>
      <c r="D651" s="106">
        <f ca="1">IF(ISBLANK(OFFSET('Data Table'!$A646,2,Settings!$G$5-1)),"",OFFSET('Data Table'!$A646,2,Settings!$G$5-1))</f>
        <v>61</v>
      </c>
      <c r="E651" s="106" t="str">
        <f ca="1">IF(ISBLANK(OFFSET('Data Table'!$A646,2,Settings!$G$5)),"",OFFSET('Data Table'!$A646,2,Settings!$G$5))</f>
        <v/>
      </c>
      <c r="F651" s="143" t="str">
        <f ca="1">IF(ISBLANK(OFFSET('Data Table'!$A646,2,Settings!$G$5+1)),"",OFFSET('Data Table'!$A646,2,Settings!$G$5+1))</f>
        <v/>
      </c>
      <c r="G651">
        <f t="shared" ca="1" si="10"/>
        <v>61</v>
      </c>
      <c r="H651">
        <f ca="1">IF(G651=-888,"",IF(G651=-999,Settings!$G$4,IF(AND($AA$6="Excluded",G651&gt;=Settings!$G$2),"",G651)))</f>
        <v>61</v>
      </c>
      <c r="I651">
        <f ca="1">IF(OR(G651=-999,G651=-888,AND($AA$6="Excluded",G651&gt;=Settings!$G$2)),"",G651)</f>
        <v>61</v>
      </c>
      <c r="O651" s="46"/>
    </row>
    <row r="652" spans="1:15" x14ac:dyDescent="0.2">
      <c r="A652" s="1">
        <v>647</v>
      </c>
      <c r="B652" t="str">
        <f>IF(ISERROR(MATCH(TRIM('Data Table'!D649),Settings!$G$15:$G$20,0)),TRIM('Data Table'!D649),LOOKUP(TRIM('Data Table'!D649),Settings!$G$15:$G$20,Settings!$H$15:$H$20))</f>
        <v>Gaston</v>
      </c>
      <c r="C652" t="str">
        <f>IF('Data Table'!F649="","SS",IF('Data Table'!F649="SF","SD",TRIM('Data Table'!F649)))</f>
        <v>SD</v>
      </c>
      <c r="D652" s="106">
        <f ca="1">IF(ISBLANK(OFFSET('Data Table'!$A647,2,Settings!$G$5-1)),"",OFFSET('Data Table'!$A647,2,Settings!$G$5-1))</f>
        <v>27</v>
      </c>
      <c r="E652" s="106" t="str">
        <f ca="1">IF(ISBLANK(OFFSET('Data Table'!$A647,2,Settings!$G$5)),"",OFFSET('Data Table'!$A647,2,Settings!$G$5))</f>
        <v/>
      </c>
      <c r="F652" s="143" t="str">
        <f ca="1">IF(ISBLANK(OFFSET('Data Table'!$A647,2,Settings!$G$5+1)),"",OFFSET('Data Table'!$A647,2,Settings!$G$5+1))</f>
        <v/>
      </c>
      <c r="G652">
        <f t="shared" ca="1" si="10"/>
        <v>27</v>
      </c>
      <c r="H652">
        <f ca="1">IF(G652=-888,"",IF(G652=-999,Settings!$G$4,IF(AND($AA$6="Excluded",G652&gt;=Settings!$G$2),"",G652)))</f>
        <v>27</v>
      </c>
      <c r="I652">
        <f ca="1">IF(OR(G652=-999,G652=-888,AND($AA$6="Excluded",G652&gt;=Settings!$G$2)),"",G652)</f>
        <v>27</v>
      </c>
      <c r="O652" s="46"/>
    </row>
    <row r="653" spans="1:15" x14ac:dyDescent="0.2">
      <c r="A653" s="1">
        <v>648</v>
      </c>
      <c r="B653" t="str">
        <f>IF(ISERROR(MATCH(TRIM('Data Table'!D650),Settings!$G$15:$G$20,0)),TRIM('Data Table'!D650),LOOKUP(TRIM('Data Table'!D650),Settings!$G$15:$G$20,Settings!$H$15:$H$20))</f>
        <v>Rowan</v>
      </c>
      <c r="C653" t="str">
        <f>IF('Data Table'!F650="","SS",IF('Data Table'!F650="SF","SD",TRIM('Data Table'!F650)))</f>
        <v>SD</v>
      </c>
      <c r="D653" s="106">
        <f ca="1">IF(ISBLANK(OFFSET('Data Table'!$A648,2,Settings!$G$5-1)),"",OFFSET('Data Table'!$A648,2,Settings!$G$5-1))</f>
        <v>7.1</v>
      </c>
      <c r="E653" s="106" t="str">
        <f ca="1">IF(ISBLANK(OFFSET('Data Table'!$A648,2,Settings!$G$5)),"",OFFSET('Data Table'!$A648,2,Settings!$G$5))</f>
        <v/>
      </c>
      <c r="F653" s="143" t="str">
        <f ca="1">IF(ISBLANK(OFFSET('Data Table'!$A648,2,Settings!$G$5+1)),"",OFFSET('Data Table'!$A648,2,Settings!$G$5+1))</f>
        <v/>
      </c>
      <c r="G653">
        <f t="shared" ca="1" si="10"/>
        <v>7.1</v>
      </c>
      <c r="H653">
        <f ca="1">IF(G653=-888,"",IF(G653=-999,Settings!$G$4,IF(AND($AA$6="Excluded",G653&gt;=Settings!$G$2),"",G653)))</f>
        <v>7.1</v>
      </c>
      <c r="I653">
        <f ca="1">IF(OR(G653=-999,G653=-888,AND($AA$6="Excluded",G653&gt;=Settings!$G$2)),"",G653)</f>
        <v>7.1</v>
      </c>
      <c r="O653" s="46"/>
    </row>
    <row r="654" spans="1:15" x14ac:dyDescent="0.2">
      <c r="A654" s="1">
        <v>649</v>
      </c>
      <c r="B654" t="str">
        <f>IF(ISERROR(MATCH(TRIM('Data Table'!D651),Settings!$G$15:$G$20,0)),TRIM('Data Table'!D651),LOOKUP(TRIM('Data Table'!D651),Settings!$G$15:$G$20,Settings!$H$15:$H$20))</f>
        <v>Rowan</v>
      </c>
      <c r="C654" t="str">
        <f>IF('Data Table'!F651="","SS",IF('Data Table'!F651="SF","SD",TRIM('Data Table'!F651)))</f>
        <v>SD</v>
      </c>
      <c r="D654" s="106">
        <f ca="1">IF(ISBLANK(OFFSET('Data Table'!$A649,2,Settings!$G$5-1)),"",OFFSET('Data Table'!$A649,2,Settings!$G$5-1))</f>
        <v>5.9</v>
      </c>
      <c r="E654" s="106" t="str">
        <f ca="1">IF(ISBLANK(OFFSET('Data Table'!$A649,2,Settings!$G$5)),"",OFFSET('Data Table'!$A649,2,Settings!$G$5))</f>
        <v/>
      </c>
      <c r="F654" s="143" t="str">
        <f ca="1">IF(ISBLANK(OFFSET('Data Table'!$A649,2,Settings!$G$5+1)),"",OFFSET('Data Table'!$A649,2,Settings!$G$5+1))</f>
        <v/>
      </c>
      <c r="G654">
        <f t="shared" ca="1" si="10"/>
        <v>5.9</v>
      </c>
      <c r="H654">
        <f ca="1">IF(G654=-888,"",IF(G654=-999,Settings!$G$4,IF(AND($AA$6="Excluded",G654&gt;=Settings!$G$2),"",G654)))</f>
        <v>5.9</v>
      </c>
      <c r="I654">
        <f ca="1">IF(OR(G654=-999,G654=-888,AND($AA$6="Excluded",G654&gt;=Settings!$G$2)),"",G654)</f>
        <v>5.9</v>
      </c>
      <c r="O654" s="46"/>
    </row>
    <row r="655" spans="1:15" x14ac:dyDescent="0.2">
      <c r="A655" s="1">
        <v>650</v>
      </c>
      <c r="B655" t="str">
        <f>IF(ISERROR(MATCH(TRIM('Data Table'!D652),Settings!$G$15:$G$20,0)),TRIM('Data Table'!D652),LOOKUP(TRIM('Data Table'!D652),Settings!$G$15:$G$20,Settings!$H$15:$H$20))</f>
        <v>Gaston</v>
      </c>
      <c r="C655" t="str">
        <f>IF('Data Table'!F652="","SS",IF('Data Table'!F652="SF","SD",TRIM('Data Table'!F652)))</f>
        <v>SD</v>
      </c>
      <c r="D655" s="106">
        <f ca="1">IF(ISBLANK(OFFSET('Data Table'!$A650,2,Settings!$G$5-1)),"",OFFSET('Data Table'!$A650,2,Settings!$G$5-1))</f>
        <v>1.3</v>
      </c>
      <c r="E655" s="106" t="str">
        <f ca="1">IF(ISBLANK(OFFSET('Data Table'!$A650,2,Settings!$G$5)),"",OFFSET('Data Table'!$A650,2,Settings!$G$5))</f>
        <v/>
      </c>
      <c r="F655" s="143" t="str">
        <f ca="1">IF(ISBLANK(OFFSET('Data Table'!$A650,2,Settings!$G$5+1)),"",OFFSET('Data Table'!$A650,2,Settings!$G$5+1))</f>
        <v/>
      </c>
      <c r="G655">
        <f t="shared" ca="1" si="10"/>
        <v>1.3</v>
      </c>
      <c r="H655">
        <f ca="1">IF(G655=-888,"",IF(G655=-999,Settings!$G$4,IF(AND($AA$6="Excluded",G655&gt;=Settings!$G$2),"",G655)))</f>
        <v>1.3</v>
      </c>
      <c r="I655">
        <f ca="1">IF(OR(G655=-999,G655=-888,AND($AA$6="Excluded",G655&gt;=Settings!$G$2)),"",G655)</f>
        <v>1.3</v>
      </c>
      <c r="O655" s="46"/>
    </row>
    <row r="656" spans="1:15" x14ac:dyDescent="0.2">
      <c r="A656" s="1">
        <v>651</v>
      </c>
      <c r="B656" t="str">
        <f>IF(ISERROR(MATCH(TRIM('Data Table'!D653),Settings!$G$15:$G$20,0)),TRIM('Data Table'!D653),LOOKUP(TRIM('Data Table'!D653),Settings!$G$15:$G$20,Settings!$H$15:$H$20))</f>
        <v>Gaston</v>
      </c>
      <c r="C656" t="str">
        <f>IF('Data Table'!F653="","SS",IF('Data Table'!F653="SF","SD",TRIM('Data Table'!F653)))</f>
        <v>SD</v>
      </c>
      <c r="D656" s="106">
        <f ca="1">IF(ISBLANK(OFFSET('Data Table'!$A651,2,Settings!$G$5-1)),"",OFFSET('Data Table'!$A651,2,Settings!$G$5-1))</f>
        <v>5</v>
      </c>
      <c r="E656" s="106" t="str">
        <f ca="1">IF(ISBLANK(OFFSET('Data Table'!$A651,2,Settings!$G$5)),"",OFFSET('Data Table'!$A651,2,Settings!$G$5))</f>
        <v/>
      </c>
      <c r="F656" s="143" t="str">
        <f ca="1">IF(ISBLANK(OFFSET('Data Table'!$A651,2,Settings!$G$5+1)),"",OFFSET('Data Table'!$A651,2,Settings!$G$5+1))</f>
        <v/>
      </c>
      <c r="G656">
        <f t="shared" ca="1" si="10"/>
        <v>5</v>
      </c>
      <c r="H656">
        <f ca="1">IF(G656=-888,"",IF(G656=-999,Settings!$G$4,IF(AND($AA$6="Excluded",G656&gt;=Settings!$G$2),"",G656)))</f>
        <v>5</v>
      </c>
      <c r="I656">
        <f ca="1">IF(OR(G656=-999,G656=-888,AND($AA$6="Excluded",G656&gt;=Settings!$G$2)),"",G656)</f>
        <v>5</v>
      </c>
      <c r="O656" s="46"/>
    </row>
    <row r="657" spans="1:15" x14ac:dyDescent="0.2">
      <c r="A657" s="1">
        <v>652</v>
      </c>
      <c r="B657" t="str">
        <f>IF(ISERROR(MATCH(TRIM('Data Table'!D654),Settings!$G$15:$G$20,0)),TRIM('Data Table'!D654),LOOKUP(TRIM('Data Table'!D654),Settings!$G$15:$G$20,Settings!$H$15:$H$20))</f>
        <v>Caldwell</v>
      </c>
      <c r="C657" t="str">
        <f>IF('Data Table'!F654="","SS",IF('Data Table'!F654="SF","SD",TRIM('Data Table'!F654)))</f>
        <v>SD</v>
      </c>
      <c r="D657" s="106" t="str">
        <f ca="1">IF(ISBLANK(OFFSET('Data Table'!$A652,2,Settings!$G$5-1)),"",OFFSET('Data Table'!$A652,2,Settings!$G$5-1))</f>
        <v/>
      </c>
      <c r="E657" s="106" t="str">
        <f ca="1">IF(ISBLANK(OFFSET('Data Table'!$A652,2,Settings!$G$5)),"",OFFSET('Data Table'!$A652,2,Settings!$G$5))</f>
        <v/>
      </c>
      <c r="F657" s="143">
        <f ca="1">IF(ISBLANK(OFFSET('Data Table'!$A652,2,Settings!$G$5+1)),"",OFFSET('Data Table'!$A652,2,Settings!$G$5+1))</f>
        <v>20</v>
      </c>
      <c r="G657">
        <f t="shared" ca="1" si="10"/>
        <v>20</v>
      </c>
      <c r="H657">
        <f ca="1">IF(G657=-888,"",IF(G657=-999,Settings!$G$4,IF(AND($AA$6="Excluded",G657&gt;=Settings!$G$2),"",G657)))</f>
        <v>20</v>
      </c>
      <c r="I657">
        <f ca="1">IF(OR(G657=-999,G657=-888,AND($AA$6="Excluded",G657&gt;=Settings!$G$2)),"",G657)</f>
        <v>20</v>
      </c>
      <c r="O657" s="46"/>
    </row>
    <row r="658" spans="1:15" x14ac:dyDescent="0.2">
      <c r="A658" s="1">
        <v>653</v>
      </c>
      <c r="B658" t="str">
        <f>IF(ISERROR(MATCH(TRIM('Data Table'!D655),Settings!$G$15:$G$20,0)),TRIM('Data Table'!D655),LOOKUP(TRIM('Data Table'!D655),Settings!$G$15:$G$20,Settings!$H$15:$H$20))</f>
        <v>Caldwell</v>
      </c>
      <c r="C658" t="str">
        <f>IF('Data Table'!F655="","SS",IF('Data Table'!F655="SF","SD",TRIM('Data Table'!F655)))</f>
        <v>SD</v>
      </c>
      <c r="D658" s="106" t="str">
        <f ca="1">IF(ISBLANK(OFFSET('Data Table'!$A653,2,Settings!$G$5-1)),"",OFFSET('Data Table'!$A653,2,Settings!$G$5-1))</f>
        <v/>
      </c>
      <c r="E658" s="106" t="str">
        <f ca="1">IF(ISBLANK(OFFSET('Data Table'!$A653,2,Settings!$G$5)),"",OFFSET('Data Table'!$A653,2,Settings!$G$5))</f>
        <v/>
      </c>
      <c r="F658" s="143">
        <f ca="1">IF(ISBLANK(OFFSET('Data Table'!$A653,2,Settings!$G$5+1)),"",OFFSET('Data Table'!$A653,2,Settings!$G$5+1))</f>
        <v>20</v>
      </c>
      <c r="G658">
        <f t="shared" ca="1" si="10"/>
        <v>20</v>
      </c>
      <c r="H658">
        <f ca="1">IF(G658=-888,"",IF(G658=-999,Settings!$G$4,IF(AND($AA$6="Excluded",G658&gt;=Settings!$G$2),"",G658)))</f>
        <v>20</v>
      </c>
      <c r="I658">
        <f ca="1">IF(OR(G658=-999,G658=-888,AND($AA$6="Excluded",G658&gt;=Settings!$G$2)),"",G658)</f>
        <v>20</v>
      </c>
      <c r="O658" s="46"/>
    </row>
    <row r="659" spans="1:15" x14ac:dyDescent="0.2">
      <c r="A659" s="1">
        <v>654</v>
      </c>
      <c r="B659" t="str">
        <f>IF(ISERROR(MATCH(TRIM('Data Table'!D656),Settings!$G$15:$G$20,0)),TRIM('Data Table'!D656),LOOKUP(TRIM('Data Table'!D656),Settings!$G$15:$G$20,Settings!$H$15:$H$20))</f>
        <v>New Hanover</v>
      </c>
      <c r="C659" t="str">
        <f>IF('Data Table'!F656="","SS",IF('Data Table'!F656="SF","SD",TRIM('Data Table'!F656)))</f>
        <v>SD</v>
      </c>
      <c r="D659" s="106">
        <f ca="1">IF(ISBLANK(OFFSET('Data Table'!$A654,2,Settings!$G$5-1)),"",OFFSET('Data Table'!$A654,2,Settings!$G$5-1))</f>
        <v>14</v>
      </c>
      <c r="E659" s="106" t="str">
        <f ca="1">IF(ISBLANK(OFFSET('Data Table'!$A654,2,Settings!$G$5)),"",OFFSET('Data Table'!$A654,2,Settings!$G$5))</f>
        <v/>
      </c>
      <c r="F659" s="143" t="str">
        <f ca="1">IF(ISBLANK(OFFSET('Data Table'!$A654,2,Settings!$G$5+1)),"",OFFSET('Data Table'!$A654,2,Settings!$G$5+1))</f>
        <v/>
      </c>
      <c r="G659">
        <f t="shared" ca="1" si="10"/>
        <v>14</v>
      </c>
      <c r="H659">
        <f ca="1">IF(G659=-888,"",IF(G659=-999,Settings!$G$4,IF(AND($AA$6="Excluded",G659&gt;=Settings!$G$2),"",G659)))</f>
        <v>14</v>
      </c>
      <c r="I659">
        <f ca="1">IF(OR(G659=-999,G659=-888,AND($AA$6="Excluded",G659&gt;=Settings!$G$2)),"",G659)</f>
        <v>14</v>
      </c>
      <c r="O659" s="46"/>
    </row>
    <row r="660" spans="1:15" x14ac:dyDescent="0.2">
      <c r="A660" s="1">
        <v>655</v>
      </c>
      <c r="B660" t="str">
        <f>IF(ISERROR(MATCH(TRIM('Data Table'!D657),Settings!$G$15:$G$20,0)),TRIM('Data Table'!D657),LOOKUP(TRIM('Data Table'!D657),Settings!$G$15:$G$20,Settings!$H$15:$H$20))</f>
        <v>New Hanover</v>
      </c>
      <c r="C660" t="str">
        <f>IF('Data Table'!F657="","SS",IF('Data Table'!F657="SF","SD",TRIM('Data Table'!F657)))</f>
        <v>SD</v>
      </c>
      <c r="D660" s="106">
        <f ca="1">IF(ISBLANK(OFFSET('Data Table'!$A655,2,Settings!$G$5-1)),"",OFFSET('Data Table'!$A655,2,Settings!$G$5-1))</f>
        <v>34</v>
      </c>
      <c r="E660" s="106" t="str">
        <f ca="1">IF(ISBLANK(OFFSET('Data Table'!$A655,2,Settings!$G$5)),"",OFFSET('Data Table'!$A655,2,Settings!$G$5))</f>
        <v/>
      </c>
      <c r="F660" s="143" t="str">
        <f ca="1">IF(ISBLANK(OFFSET('Data Table'!$A655,2,Settings!$G$5+1)),"",OFFSET('Data Table'!$A655,2,Settings!$G$5+1))</f>
        <v/>
      </c>
      <c r="G660">
        <f t="shared" ca="1" si="10"/>
        <v>34</v>
      </c>
      <c r="H660">
        <f ca="1">IF(G660=-888,"",IF(G660=-999,Settings!$G$4,IF(AND($AA$6="Excluded",G660&gt;=Settings!$G$2),"",G660)))</f>
        <v>34</v>
      </c>
      <c r="I660">
        <f ca="1">IF(OR(G660=-999,G660=-888,AND($AA$6="Excluded",G660&gt;=Settings!$G$2)),"",G660)</f>
        <v>34</v>
      </c>
      <c r="O660" s="46"/>
    </row>
    <row r="661" spans="1:15" x14ac:dyDescent="0.2">
      <c r="A661" s="1">
        <v>656</v>
      </c>
      <c r="B661" t="str">
        <f>IF(ISERROR(MATCH(TRIM('Data Table'!D658),Settings!$G$15:$G$20,0)),TRIM('Data Table'!D658),LOOKUP(TRIM('Data Table'!D658),Settings!$G$15:$G$20,Settings!$H$15:$H$20))</f>
        <v>New Hanover</v>
      </c>
      <c r="C661" t="str">
        <f>IF('Data Table'!F658="","SS",IF('Data Table'!F658="SF","SD",TRIM('Data Table'!F658)))</f>
        <v>SB</v>
      </c>
      <c r="D661" s="106">
        <f ca="1">IF(ISBLANK(OFFSET('Data Table'!$A656,2,Settings!$G$5-1)),"",OFFSET('Data Table'!$A656,2,Settings!$G$5-1))</f>
        <v>3</v>
      </c>
      <c r="E661" s="106" t="str">
        <f ca="1">IF(ISBLANK(OFFSET('Data Table'!$A656,2,Settings!$G$5)),"",OFFSET('Data Table'!$A656,2,Settings!$G$5))</f>
        <v/>
      </c>
      <c r="F661" s="143" t="str">
        <f ca="1">IF(ISBLANK(OFFSET('Data Table'!$A656,2,Settings!$G$5+1)),"",OFFSET('Data Table'!$A656,2,Settings!$G$5+1))</f>
        <v/>
      </c>
      <c r="G661">
        <f t="shared" ca="1" si="10"/>
        <v>3</v>
      </c>
      <c r="H661">
        <f ca="1">IF(G661=-888,"",IF(G661=-999,Settings!$G$4,IF(AND($AA$6="Excluded",G661&gt;=Settings!$G$2),"",G661)))</f>
        <v>3</v>
      </c>
      <c r="I661">
        <f ca="1">IF(OR(G661=-999,G661=-888,AND($AA$6="Excluded",G661&gt;=Settings!$G$2)),"",G661)</f>
        <v>3</v>
      </c>
      <c r="O661" s="46"/>
    </row>
    <row r="662" spans="1:15" x14ac:dyDescent="0.2">
      <c r="A662" s="1">
        <v>657</v>
      </c>
      <c r="B662" t="str">
        <f>IF(ISERROR(MATCH(TRIM('Data Table'!D659),Settings!$G$15:$G$20,0)),TRIM('Data Table'!D659),LOOKUP(TRIM('Data Table'!D659),Settings!$G$15:$G$20,Settings!$H$15:$H$20))</f>
        <v>New Hanover</v>
      </c>
      <c r="C662" t="str">
        <f>IF('Data Table'!F659="","SS",IF('Data Table'!F659="SF","SD",TRIM('Data Table'!F659)))</f>
        <v>SS</v>
      </c>
      <c r="D662" s="106">
        <f ca="1">IF(ISBLANK(OFFSET('Data Table'!$A657,2,Settings!$G$5-1)),"",OFFSET('Data Table'!$A657,2,Settings!$G$5-1))</f>
        <v>140</v>
      </c>
      <c r="E662" s="106" t="str">
        <f ca="1">IF(ISBLANK(OFFSET('Data Table'!$A657,2,Settings!$G$5)),"",OFFSET('Data Table'!$A657,2,Settings!$G$5))</f>
        <v/>
      </c>
      <c r="F662" s="143" t="str">
        <f ca="1">IF(ISBLANK(OFFSET('Data Table'!$A657,2,Settings!$G$5+1)),"",OFFSET('Data Table'!$A657,2,Settings!$G$5+1))</f>
        <v/>
      </c>
      <c r="G662">
        <f t="shared" ca="1" si="10"/>
        <v>140</v>
      </c>
      <c r="H662">
        <f ca="1">IF(G662=-888,"",IF(G662=-999,Settings!$G$4,IF(AND($AA$6="Excluded",G662&gt;=Settings!$G$2),"",G662)))</f>
        <v>140</v>
      </c>
      <c r="I662">
        <f ca="1">IF(OR(G662=-999,G662=-888,AND($AA$6="Excluded",G662&gt;=Settings!$G$2)),"",G662)</f>
        <v>140</v>
      </c>
      <c r="O662" s="46"/>
    </row>
    <row r="663" spans="1:15" x14ac:dyDescent="0.2">
      <c r="A663" s="1">
        <v>658</v>
      </c>
      <c r="B663" t="str">
        <f>IF(ISERROR(MATCH(TRIM('Data Table'!D660),Settings!$G$15:$G$20,0)),TRIM('Data Table'!D660),LOOKUP(TRIM('Data Table'!D660),Settings!$G$15:$G$20,Settings!$H$15:$H$20))</f>
        <v>Mecklenburg</v>
      </c>
      <c r="C663" t="str">
        <f>IF('Data Table'!F660="","SS",IF('Data Table'!F660="SF","SD",TRIM('Data Table'!F660)))</f>
        <v>SB</v>
      </c>
      <c r="D663" s="106" t="str">
        <f ca="1">IF(ISBLANK(OFFSET('Data Table'!$A658,2,Settings!$G$5-1)),"",OFFSET('Data Table'!$A658,2,Settings!$G$5-1))</f>
        <v/>
      </c>
      <c r="E663" s="106" t="str">
        <f ca="1">IF(ISBLANK(OFFSET('Data Table'!$A658,2,Settings!$G$5)),"",OFFSET('Data Table'!$A658,2,Settings!$G$5))</f>
        <v/>
      </c>
      <c r="F663" s="143">
        <f ca="1">IF(ISBLANK(OFFSET('Data Table'!$A658,2,Settings!$G$5+1)),"",OFFSET('Data Table'!$A658,2,Settings!$G$5+1))</f>
        <v>10</v>
      </c>
      <c r="G663">
        <f t="shared" ca="1" si="10"/>
        <v>10</v>
      </c>
      <c r="H663">
        <f ca="1">IF(G663=-888,"",IF(G663=-999,Settings!$G$4,IF(AND($AA$6="Excluded",G663&gt;=Settings!$G$2),"",G663)))</f>
        <v>10</v>
      </c>
      <c r="I663">
        <f ca="1">IF(OR(G663=-999,G663=-888,AND($AA$6="Excluded",G663&gt;=Settings!$G$2)),"",G663)</f>
        <v>10</v>
      </c>
      <c r="O663" s="46"/>
    </row>
    <row r="664" spans="1:15" x14ac:dyDescent="0.2">
      <c r="A664" s="1">
        <v>659</v>
      </c>
      <c r="B664" t="str">
        <f>IF(ISERROR(MATCH(TRIM('Data Table'!D661),Settings!$G$15:$G$20,0)),TRIM('Data Table'!D661),LOOKUP(TRIM('Data Table'!D661),Settings!$G$15:$G$20,Settings!$H$15:$H$20))</f>
        <v>Mecklenburg</v>
      </c>
      <c r="C664" t="str">
        <f>IF('Data Table'!F661="","SS",IF('Data Table'!F661="SF","SD",TRIM('Data Table'!F661)))</f>
        <v>SS</v>
      </c>
      <c r="D664" s="106">
        <f ca="1">IF(ISBLANK(OFFSET('Data Table'!$A659,2,Settings!$G$5-1)),"",OFFSET('Data Table'!$A659,2,Settings!$G$5-1))</f>
        <v>130</v>
      </c>
      <c r="E664" s="106" t="str">
        <f ca="1">IF(ISBLANK(OFFSET('Data Table'!$A659,2,Settings!$G$5)),"",OFFSET('Data Table'!$A659,2,Settings!$G$5))</f>
        <v/>
      </c>
      <c r="F664" s="143" t="str">
        <f ca="1">IF(ISBLANK(OFFSET('Data Table'!$A659,2,Settings!$G$5+1)),"",OFFSET('Data Table'!$A659,2,Settings!$G$5+1))</f>
        <v/>
      </c>
      <c r="G664">
        <f t="shared" ca="1" si="10"/>
        <v>130</v>
      </c>
      <c r="H664">
        <f ca="1">IF(G664=-888,"",IF(G664=-999,Settings!$G$4,IF(AND($AA$6="Excluded",G664&gt;=Settings!$G$2),"",G664)))</f>
        <v>130</v>
      </c>
      <c r="I664">
        <f ca="1">IF(OR(G664=-999,G664=-888,AND($AA$6="Excluded",G664&gt;=Settings!$G$2)),"",G664)</f>
        <v>130</v>
      </c>
      <c r="O664" s="46"/>
    </row>
    <row r="665" spans="1:15" x14ac:dyDescent="0.2">
      <c r="A665" s="1">
        <v>660</v>
      </c>
      <c r="B665" t="str">
        <f>IF(ISERROR(MATCH(TRIM('Data Table'!D662),Settings!$G$15:$G$20,0)),TRIM('Data Table'!D662),LOOKUP(TRIM('Data Table'!D662),Settings!$G$15:$G$20,Settings!$H$15:$H$20))</f>
        <v>Columbus</v>
      </c>
      <c r="C665" t="str">
        <f>IF('Data Table'!F662="","SS",IF('Data Table'!F662="SF","SD",TRIM('Data Table'!F662)))</f>
        <v>SS</v>
      </c>
      <c r="D665" s="106">
        <f ca="1">IF(ISBLANK(OFFSET('Data Table'!$A660,2,Settings!$G$5-1)),"",OFFSET('Data Table'!$A660,2,Settings!$G$5-1))</f>
        <v>4</v>
      </c>
      <c r="E665" s="106" t="str">
        <f ca="1">IF(ISBLANK(OFFSET('Data Table'!$A660,2,Settings!$G$5)),"",OFFSET('Data Table'!$A660,2,Settings!$G$5))</f>
        <v/>
      </c>
      <c r="F665" s="143" t="str">
        <f ca="1">IF(ISBLANK(OFFSET('Data Table'!$A660,2,Settings!$G$5+1)),"",OFFSET('Data Table'!$A660,2,Settings!$G$5+1))</f>
        <v/>
      </c>
      <c r="G665">
        <f t="shared" ca="1" si="10"/>
        <v>4</v>
      </c>
      <c r="H665">
        <f ca="1">IF(G665=-888,"",IF(G665=-999,Settings!$G$4,IF(AND($AA$6="Excluded",G665&gt;=Settings!$G$2),"",G665)))</f>
        <v>4</v>
      </c>
      <c r="I665">
        <f ca="1">IF(OR(G665=-999,G665=-888,AND($AA$6="Excluded",G665&gt;=Settings!$G$2)),"",G665)</f>
        <v>4</v>
      </c>
      <c r="O665" s="46"/>
    </row>
    <row r="666" spans="1:15" x14ac:dyDescent="0.2">
      <c r="A666" s="1">
        <v>661</v>
      </c>
      <c r="B666" t="str">
        <f>IF(ISERROR(MATCH(TRIM('Data Table'!D663),Settings!$G$15:$G$20,0)),TRIM('Data Table'!D663),LOOKUP(TRIM('Data Table'!D663),Settings!$G$15:$G$20,Settings!$H$15:$H$20))</f>
        <v>Columbus</v>
      </c>
      <c r="C666" t="str">
        <f>IF('Data Table'!F663="","SS",IF('Data Table'!F663="SF","SD",TRIM('Data Table'!F663)))</f>
        <v>SD</v>
      </c>
      <c r="D666" s="106">
        <f ca="1">IF(ISBLANK(OFFSET('Data Table'!$A661,2,Settings!$G$5-1)),"",OFFSET('Data Table'!$A661,2,Settings!$G$5-1))</f>
        <v>4</v>
      </c>
      <c r="E666" s="106" t="str">
        <f ca="1">IF(ISBLANK(OFFSET('Data Table'!$A661,2,Settings!$G$5)),"",OFFSET('Data Table'!$A661,2,Settings!$G$5))</f>
        <v/>
      </c>
      <c r="F666" s="143" t="str">
        <f ca="1">IF(ISBLANK(OFFSET('Data Table'!$A661,2,Settings!$G$5+1)),"",OFFSET('Data Table'!$A661,2,Settings!$G$5+1))</f>
        <v/>
      </c>
      <c r="G666">
        <f t="shared" ca="1" si="10"/>
        <v>4</v>
      </c>
      <c r="H666">
        <f ca="1">IF(G666=-888,"",IF(G666=-999,Settings!$G$4,IF(AND($AA$6="Excluded",G666&gt;=Settings!$G$2),"",G666)))</f>
        <v>4</v>
      </c>
      <c r="I666">
        <f ca="1">IF(OR(G666=-999,G666=-888,AND($AA$6="Excluded",G666&gt;=Settings!$G$2)),"",G666)</f>
        <v>4</v>
      </c>
      <c r="O666" s="46"/>
    </row>
    <row r="667" spans="1:15" x14ac:dyDescent="0.2">
      <c r="A667" s="1">
        <v>662</v>
      </c>
      <c r="B667" t="str">
        <f>IF(ISERROR(MATCH(TRIM('Data Table'!D664),Settings!$G$15:$G$20,0)),TRIM('Data Table'!D664),LOOKUP(TRIM('Data Table'!D664),Settings!$G$15:$G$20,Settings!$H$15:$H$20))</f>
        <v>Columbus</v>
      </c>
      <c r="C667" t="str">
        <f>IF('Data Table'!F664="","SS",IF('Data Table'!F664="SF","SD",TRIM('Data Table'!F664)))</f>
        <v>SD</v>
      </c>
      <c r="D667" s="106">
        <f ca="1">IF(ISBLANK(OFFSET('Data Table'!$A662,2,Settings!$G$5-1)),"",OFFSET('Data Table'!$A662,2,Settings!$G$5-1))</f>
        <v>6</v>
      </c>
      <c r="E667" s="106" t="str">
        <f ca="1">IF(ISBLANK(OFFSET('Data Table'!$A662,2,Settings!$G$5)),"",OFFSET('Data Table'!$A662,2,Settings!$G$5))</f>
        <v/>
      </c>
      <c r="F667" s="143" t="str">
        <f ca="1">IF(ISBLANK(OFFSET('Data Table'!$A662,2,Settings!$G$5+1)),"",OFFSET('Data Table'!$A662,2,Settings!$G$5+1))</f>
        <v/>
      </c>
      <c r="G667">
        <f t="shared" ca="1" si="10"/>
        <v>6</v>
      </c>
      <c r="H667">
        <f ca="1">IF(G667=-888,"",IF(G667=-999,Settings!$G$4,IF(AND($AA$6="Excluded",G667&gt;=Settings!$G$2),"",G667)))</f>
        <v>6</v>
      </c>
      <c r="I667">
        <f ca="1">IF(OR(G667=-999,G667=-888,AND($AA$6="Excluded",G667&gt;=Settings!$G$2)),"",G667)</f>
        <v>6</v>
      </c>
      <c r="O667" s="46"/>
    </row>
    <row r="668" spans="1:15" x14ac:dyDescent="0.2">
      <c r="A668" s="1">
        <v>663</v>
      </c>
      <c r="B668" t="str">
        <f>IF(ISERROR(MATCH(TRIM('Data Table'!D665),Settings!$G$15:$G$20,0)),TRIM('Data Table'!D665),LOOKUP(TRIM('Data Table'!D665),Settings!$G$15:$G$20,Settings!$H$15:$H$20))</f>
        <v>Forsyth</v>
      </c>
      <c r="C668" t="str">
        <f>IF('Data Table'!F665="","SS",IF('Data Table'!F665="SF","SD",TRIM('Data Table'!F665)))</f>
        <v>SS</v>
      </c>
      <c r="D668" s="106">
        <f ca="1">IF(ISBLANK(OFFSET('Data Table'!$A663,2,Settings!$G$5-1)),"",OFFSET('Data Table'!$A663,2,Settings!$G$5-1))</f>
        <v>17.8</v>
      </c>
      <c r="E668" s="106" t="str">
        <f ca="1">IF(ISBLANK(OFFSET('Data Table'!$A663,2,Settings!$G$5)),"",OFFSET('Data Table'!$A663,2,Settings!$G$5))</f>
        <v/>
      </c>
      <c r="F668" s="143" t="str">
        <f ca="1">IF(ISBLANK(OFFSET('Data Table'!$A663,2,Settings!$G$5+1)),"",OFFSET('Data Table'!$A663,2,Settings!$G$5+1))</f>
        <v/>
      </c>
      <c r="G668">
        <f t="shared" ca="1" si="10"/>
        <v>17.8</v>
      </c>
      <c r="H668">
        <f ca="1">IF(G668=-888,"",IF(G668=-999,Settings!$G$4,IF(AND($AA$6="Excluded",G668&gt;=Settings!$G$2),"",G668)))</f>
        <v>17.8</v>
      </c>
      <c r="I668">
        <f ca="1">IF(OR(G668=-999,G668=-888,AND($AA$6="Excluded",G668&gt;=Settings!$G$2)),"",G668)</f>
        <v>17.8</v>
      </c>
      <c r="O668" s="46"/>
    </row>
    <row r="669" spans="1:15" x14ac:dyDescent="0.2">
      <c r="A669" s="1">
        <v>664</v>
      </c>
      <c r="B669" t="str">
        <f>IF(ISERROR(MATCH(TRIM('Data Table'!D666),Settings!$G$15:$G$20,0)),TRIM('Data Table'!D666),LOOKUP(TRIM('Data Table'!D666),Settings!$G$15:$G$20,Settings!$H$15:$H$20))</f>
        <v>Forsyth</v>
      </c>
      <c r="C669" t="str">
        <f>IF('Data Table'!F666="","SS",IF('Data Table'!F666="SF","SD",TRIM('Data Table'!F666)))</f>
        <v>SS</v>
      </c>
      <c r="D669" s="106">
        <f ca="1">IF(ISBLANK(OFFSET('Data Table'!$A664,2,Settings!$G$5-1)),"",OFFSET('Data Table'!$A664,2,Settings!$G$5-1))</f>
        <v>60</v>
      </c>
      <c r="E669" s="106" t="str">
        <f ca="1">IF(ISBLANK(OFFSET('Data Table'!$A664,2,Settings!$G$5)),"",OFFSET('Data Table'!$A664,2,Settings!$G$5))</f>
        <v/>
      </c>
      <c r="F669" s="143" t="str">
        <f ca="1">IF(ISBLANK(OFFSET('Data Table'!$A664,2,Settings!$G$5+1)),"",OFFSET('Data Table'!$A664,2,Settings!$G$5+1))</f>
        <v/>
      </c>
      <c r="G669">
        <f t="shared" ca="1" si="10"/>
        <v>60</v>
      </c>
      <c r="H669">
        <f ca="1">IF(G669=-888,"",IF(G669=-999,Settings!$G$4,IF(AND($AA$6="Excluded",G669&gt;=Settings!$G$2),"",G669)))</f>
        <v>60</v>
      </c>
      <c r="I669">
        <f ca="1">IF(OR(G669=-999,G669=-888,AND($AA$6="Excluded",G669&gt;=Settings!$G$2)),"",G669)</f>
        <v>60</v>
      </c>
      <c r="O669" s="46"/>
    </row>
    <row r="670" spans="1:15" x14ac:dyDescent="0.2">
      <c r="A670" s="1">
        <v>665</v>
      </c>
      <c r="B670" t="str">
        <f>IF(ISERROR(MATCH(TRIM('Data Table'!D667),Settings!$G$15:$G$20,0)),TRIM('Data Table'!D667),LOOKUP(TRIM('Data Table'!D667),Settings!$G$15:$G$20,Settings!$H$15:$H$20))</f>
        <v>Forsyth</v>
      </c>
      <c r="C670" t="str">
        <f>IF('Data Table'!F667="","SS",IF('Data Table'!F667="SF","SD",TRIM('Data Table'!F667)))</f>
        <v>SD</v>
      </c>
      <c r="D670" s="106">
        <f ca="1">IF(ISBLANK(OFFSET('Data Table'!$A665,2,Settings!$G$5-1)),"",OFFSET('Data Table'!$A665,2,Settings!$G$5-1))</f>
        <v>28</v>
      </c>
      <c r="E670" s="106" t="str">
        <f ca="1">IF(ISBLANK(OFFSET('Data Table'!$A665,2,Settings!$G$5)),"",OFFSET('Data Table'!$A665,2,Settings!$G$5))</f>
        <v/>
      </c>
      <c r="F670" s="143" t="str">
        <f ca="1">IF(ISBLANK(OFFSET('Data Table'!$A665,2,Settings!$G$5+1)),"",OFFSET('Data Table'!$A665,2,Settings!$G$5+1))</f>
        <v/>
      </c>
      <c r="G670">
        <f t="shared" ca="1" si="10"/>
        <v>28</v>
      </c>
      <c r="H670">
        <f ca="1">IF(G670=-888,"",IF(G670=-999,Settings!$G$4,IF(AND($AA$6="Excluded",G670&gt;=Settings!$G$2),"",G670)))</f>
        <v>28</v>
      </c>
      <c r="I670">
        <f ca="1">IF(OR(G670=-999,G670=-888,AND($AA$6="Excluded",G670&gt;=Settings!$G$2)),"",G670)</f>
        <v>28</v>
      </c>
      <c r="O670" s="46"/>
    </row>
    <row r="671" spans="1:15" x14ac:dyDescent="0.2">
      <c r="A671" s="1">
        <v>666</v>
      </c>
      <c r="B671" t="str">
        <f>IF(ISERROR(MATCH(TRIM('Data Table'!D668),Settings!$G$15:$G$20,0)),TRIM('Data Table'!D668),LOOKUP(TRIM('Data Table'!D668),Settings!$G$15:$G$20,Settings!$H$15:$H$20))</f>
        <v>Forsyth</v>
      </c>
      <c r="C671" t="str">
        <f>IF('Data Table'!F668="","SS",IF('Data Table'!F668="SF","SD",TRIM('Data Table'!F668)))</f>
        <v>SD</v>
      </c>
      <c r="D671" s="106">
        <f ca="1">IF(ISBLANK(OFFSET('Data Table'!$A666,2,Settings!$G$5-1)),"",OFFSET('Data Table'!$A666,2,Settings!$G$5-1))</f>
        <v>28</v>
      </c>
      <c r="E671" s="106" t="str">
        <f ca="1">IF(ISBLANK(OFFSET('Data Table'!$A666,2,Settings!$G$5)),"",OFFSET('Data Table'!$A666,2,Settings!$G$5))</f>
        <v/>
      </c>
      <c r="F671" s="143" t="str">
        <f ca="1">IF(ISBLANK(OFFSET('Data Table'!$A666,2,Settings!$G$5+1)),"",OFFSET('Data Table'!$A666,2,Settings!$G$5+1))</f>
        <v/>
      </c>
      <c r="G671">
        <f t="shared" ca="1" si="10"/>
        <v>28</v>
      </c>
      <c r="H671">
        <f ca="1">IF(G671=-888,"",IF(G671=-999,Settings!$G$4,IF(AND($AA$6="Excluded",G671&gt;=Settings!$G$2),"",G671)))</f>
        <v>28</v>
      </c>
      <c r="I671">
        <f ca="1">IF(OR(G671=-999,G671=-888,AND($AA$6="Excluded",G671&gt;=Settings!$G$2)),"",G671)</f>
        <v>28</v>
      </c>
      <c r="O671" s="46"/>
    </row>
    <row r="672" spans="1:15" x14ac:dyDescent="0.2">
      <c r="A672" s="1">
        <v>667</v>
      </c>
      <c r="B672" t="str">
        <f>IF(ISERROR(MATCH(TRIM('Data Table'!D669),Settings!$G$15:$G$20,0)),TRIM('Data Table'!D669),LOOKUP(TRIM('Data Table'!D669),Settings!$G$15:$G$20,Settings!$H$15:$H$20))</f>
        <v>Johnston</v>
      </c>
      <c r="C672" t="str">
        <f>IF('Data Table'!F669="","SS",IF('Data Table'!F669="SF","SD",TRIM('Data Table'!F669)))</f>
        <v>SS</v>
      </c>
      <c r="D672" s="106">
        <f ca="1">IF(ISBLANK(OFFSET('Data Table'!$A667,2,Settings!$G$5-1)),"",OFFSET('Data Table'!$A667,2,Settings!$G$5-1))</f>
        <v>20</v>
      </c>
      <c r="E672" s="106" t="str">
        <f ca="1">IF(ISBLANK(OFFSET('Data Table'!$A667,2,Settings!$G$5)),"",OFFSET('Data Table'!$A667,2,Settings!$G$5))</f>
        <v/>
      </c>
      <c r="F672" s="143" t="str">
        <f ca="1">IF(ISBLANK(OFFSET('Data Table'!$A667,2,Settings!$G$5+1)),"",OFFSET('Data Table'!$A667,2,Settings!$G$5+1))</f>
        <v/>
      </c>
      <c r="G672">
        <f t="shared" ca="1" si="10"/>
        <v>20</v>
      </c>
      <c r="H672">
        <f ca="1">IF(G672=-888,"",IF(G672=-999,Settings!$G$4,IF(AND($AA$6="Excluded",G672&gt;=Settings!$G$2),"",G672)))</f>
        <v>20</v>
      </c>
      <c r="I672">
        <f ca="1">IF(OR(G672=-999,G672=-888,AND($AA$6="Excluded",G672&gt;=Settings!$G$2)),"",G672)</f>
        <v>20</v>
      </c>
      <c r="O672" s="46"/>
    </row>
    <row r="673" spans="1:15" x14ac:dyDescent="0.2">
      <c r="A673" s="1">
        <v>668</v>
      </c>
      <c r="B673" t="str">
        <f>IF(ISERROR(MATCH(TRIM('Data Table'!D670),Settings!$G$15:$G$20,0)),TRIM('Data Table'!D670),LOOKUP(TRIM('Data Table'!D670),Settings!$G$15:$G$20,Settings!$H$15:$H$20))</f>
        <v>Buncombe</v>
      </c>
      <c r="C673" t="str">
        <f>IF('Data Table'!F670="","SS",IF('Data Table'!F670="SF","SD",TRIM('Data Table'!F670)))</f>
        <v>SS</v>
      </c>
      <c r="D673" s="106" t="str">
        <f ca="1">IF(ISBLANK(OFFSET('Data Table'!$A668,2,Settings!$G$5-1)),"",OFFSET('Data Table'!$A668,2,Settings!$G$5-1))</f>
        <v/>
      </c>
      <c r="E673" s="106" t="str">
        <f ca="1">IF(ISBLANK(OFFSET('Data Table'!$A668,2,Settings!$G$5)),"",OFFSET('Data Table'!$A668,2,Settings!$G$5))</f>
        <v/>
      </c>
      <c r="F673" s="143">
        <f ca="1">IF(ISBLANK(OFFSET('Data Table'!$A668,2,Settings!$G$5+1)),"",OFFSET('Data Table'!$A668,2,Settings!$G$5+1))</f>
        <v>20</v>
      </c>
      <c r="G673">
        <f t="shared" ca="1" si="10"/>
        <v>20</v>
      </c>
      <c r="H673">
        <f ca="1">IF(G673=-888,"",IF(G673=-999,Settings!$G$4,IF(AND($AA$6="Excluded",G673&gt;=Settings!$G$2),"",G673)))</f>
        <v>20</v>
      </c>
      <c r="I673">
        <f ca="1">IF(OR(G673=-999,G673=-888,AND($AA$6="Excluded",G673&gt;=Settings!$G$2)),"",G673)</f>
        <v>20</v>
      </c>
      <c r="O673" s="46"/>
    </row>
    <row r="674" spans="1:15" x14ac:dyDescent="0.2">
      <c r="A674" s="1">
        <v>669</v>
      </c>
      <c r="B674" t="str">
        <f>IF(ISERROR(MATCH(TRIM('Data Table'!D671),Settings!$G$15:$G$20,0)),TRIM('Data Table'!D671),LOOKUP(TRIM('Data Table'!D671),Settings!$G$15:$G$20,Settings!$H$15:$H$20))</f>
        <v>Buncombe</v>
      </c>
      <c r="C674" t="str">
        <f>IF('Data Table'!F671="","SS",IF('Data Table'!F671="SF","SD",TRIM('Data Table'!F671)))</f>
        <v>SB</v>
      </c>
      <c r="D674" s="106" t="str">
        <f ca="1">IF(ISBLANK(OFFSET('Data Table'!$A669,2,Settings!$G$5-1)),"",OFFSET('Data Table'!$A669,2,Settings!$G$5-1))</f>
        <v/>
      </c>
      <c r="E674" s="106" t="str">
        <f ca="1">IF(ISBLANK(OFFSET('Data Table'!$A669,2,Settings!$G$5)),"",OFFSET('Data Table'!$A669,2,Settings!$G$5))</f>
        <v/>
      </c>
      <c r="F674" s="143">
        <f ca="1">IF(ISBLANK(OFFSET('Data Table'!$A669,2,Settings!$G$5+1)),"",OFFSET('Data Table'!$A669,2,Settings!$G$5+1))</f>
        <v>20</v>
      </c>
      <c r="G674">
        <f t="shared" ca="1" si="10"/>
        <v>20</v>
      </c>
      <c r="H674">
        <f ca="1">IF(G674=-888,"",IF(G674=-999,Settings!$G$4,IF(AND($AA$6="Excluded",G674&gt;=Settings!$G$2),"",G674)))</f>
        <v>20</v>
      </c>
      <c r="I674">
        <f ca="1">IF(OR(G674=-999,G674=-888,AND($AA$6="Excluded",G674&gt;=Settings!$G$2)),"",G674)</f>
        <v>20</v>
      </c>
      <c r="O674" s="46"/>
    </row>
    <row r="675" spans="1:15" x14ac:dyDescent="0.2">
      <c r="A675" s="1">
        <v>670</v>
      </c>
      <c r="B675" t="str">
        <f>IF(ISERROR(MATCH(TRIM('Data Table'!D672),Settings!$G$15:$G$20,0)),TRIM('Data Table'!D672),LOOKUP(TRIM('Data Table'!D672),Settings!$G$15:$G$20,Settings!$H$15:$H$20))</f>
        <v>Buncombe</v>
      </c>
      <c r="C675" t="str">
        <f>IF('Data Table'!F672="","SS",IF('Data Table'!F672="SF","SD",TRIM('Data Table'!F672)))</f>
        <v>SD</v>
      </c>
      <c r="D675" s="106" t="str">
        <f ca="1">IF(ISBLANK(OFFSET('Data Table'!$A670,2,Settings!$G$5-1)),"",OFFSET('Data Table'!$A670,2,Settings!$G$5-1))</f>
        <v/>
      </c>
      <c r="E675" s="106" t="str">
        <f ca="1">IF(ISBLANK(OFFSET('Data Table'!$A670,2,Settings!$G$5)),"",OFFSET('Data Table'!$A670,2,Settings!$G$5))</f>
        <v/>
      </c>
      <c r="F675" s="143">
        <f ca="1">IF(ISBLANK(OFFSET('Data Table'!$A670,2,Settings!$G$5+1)),"",OFFSET('Data Table'!$A670,2,Settings!$G$5+1))</f>
        <v>20</v>
      </c>
      <c r="G675">
        <f t="shared" ca="1" si="10"/>
        <v>20</v>
      </c>
      <c r="H675">
        <f ca="1">IF(G675=-888,"",IF(G675=-999,Settings!$G$4,IF(AND($AA$6="Excluded",G675&gt;=Settings!$G$2),"",G675)))</f>
        <v>20</v>
      </c>
      <c r="I675">
        <f ca="1">IF(OR(G675=-999,G675=-888,AND($AA$6="Excluded",G675&gt;=Settings!$G$2)),"",G675)</f>
        <v>20</v>
      </c>
      <c r="O675" s="46"/>
    </row>
    <row r="676" spans="1:15" x14ac:dyDescent="0.2">
      <c r="A676" s="1">
        <v>671</v>
      </c>
      <c r="B676" t="str">
        <f>IF(ISERROR(MATCH(TRIM('Data Table'!D673),Settings!$G$15:$G$20,0)),TRIM('Data Table'!D673),LOOKUP(TRIM('Data Table'!D673),Settings!$G$15:$G$20,Settings!$H$15:$H$20))</f>
        <v>New Hanover</v>
      </c>
      <c r="C676" t="str">
        <f>IF('Data Table'!F673="","SS",IF('Data Table'!F673="SF","SD",TRIM('Data Table'!F673)))</f>
        <v>SS</v>
      </c>
      <c r="D676" s="106" t="str">
        <f ca="1">IF(ISBLANK(OFFSET('Data Table'!$A671,2,Settings!$G$5-1)),"",OFFSET('Data Table'!$A671,2,Settings!$G$5-1))</f>
        <v/>
      </c>
      <c r="E676" s="106">
        <f ca="1">IF(ISBLANK(OFFSET('Data Table'!$A671,2,Settings!$G$5)),"",OFFSET('Data Table'!$A671,2,Settings!$G$5))</f>
        <v>14.256</v>
      </c>
      <c r="F676" s="143" t="str">
        <f ca="1">IF(ISBLANK(OFFSET('Data Table'!$A671,2,Settings!$G$5+1)),"",OFFSET('Data Table'!$A671,2,Settings!$G$5+1))</f>
        <v/>
      </c>
      <c r="G676">
        <f t="shared" ca="1" si="10"/>
        <v>14.256</v>
      </c>
      <c r="H676">
        <f ca="1">IF(G676=-888,"",IF(G676=-999,Settings!$G$4,IF(AND($AA$6="Excluded",G676&gt;=Settings!$G$2),"",G676)))</f>
        <v>14.256</v>
      </c>
      <c r="I676">
        <f ca="1">IF(OR(G676=-999,G676=-888,AND($AA$6="Excluded",G676&gt;=Settings!$G$2)),"",G676)</f>
        <v>14.256</v>
      </c>
      <c r="O676" s="46"/>
    </row>
    <row r="677" spans="1:15" x14ac:dyDescent="0.2">
      <c r="A677" s="1">
        <v>672</v>
      </c>
      <c r="B677" t="str">
        <f>IF(ISERROR(MATCH(TRIM('Data Table'!D674),Settings!$G$15:$G$20,0)),TRIM('Data Table'!D674),LOOKUP(TRIM('Data Table'!D674),Settings!$G$15:$G$20,Settings!$H$15:$H$20))</f>
        <v>New Hanover</v>
      </c>
      <c r="C677" t="str">
        <f>IF('Data Table'!F674="","SS",IF('Data Table'!F674="SF","SD",TRIM('Data Table'!F674)))</f>
        <v>SS</v>
      </c>
      <c r="D677" s="106" t="str">
        <f ca="1">IF(ISBLANK(OFFSET('Data Table'!$A672,2,Settings!$G$5-1)),"",OFFSET('Data Table'!$A672,2,Settings!$G$5-1))</f>
        <v/>
      </c>
      <c r="E677" s="106">
        <f ca="1">IF(ISBLANK(OFFSET('Data Table'!$A672,2,Settings!$G$5)),"",OFFSET('Data Table'!$A672,2,Settings!$G$5))</f>
        <v>12.672000000000001</v>
      </c>
      <c r="F677" s="143" t="str">
        <f ca="1">IF(ISBLANK(OFFSET('Data Table'!$A672,2,Settings!$G$5+1)),"",OFFSET('Data Table'!$A672,2,Settings!$G$5+1))</f>
        <v/>
      </c>
      <c r="G677">
        <f t="shared" ca="1" si="10"/>
        <v>12.672000000000001</v>
      </c>
      <c r="H677">
        <f ca="1">IF(G677=-888,"",IF(G677=-999,Settings!$G$4,IF(AND($AA$6="Excluded",G677&gt;=Settings!$G$2),"",G677)))</f>
        <v>12.672000000000001</v>
      </c>
      <c r="I677">
        <f ca="1">IF(OR(G677=-999,G677=-888,AND($AA$6="Excluded",G677&gt;=Settings!$G$2)),"",G677)</f>
        <v>12.672000000000001</v>
      </c>
      <c r="O677" s="46"/>
    </row>
    <row r="678" spans="1:15" x14ac:dyDescent="0.2">
      <c r="A678" s="1">
        <v>673</v>
      </c>
      <c r="B678" t="str">
        <f>IF(ISERROR(MATCH(TRIM('Data Table'!D675),Settings!$G$15:$G$20,0)),TRIM('Data Table'!D675),LOOKUP(TRIM('Data Table'!D675),Settings!$G$15:$G$20,Settings!$H$15:$H$20))</f>
        <v>New Hanover</v>
      </c>
      <c r="C678" t="str">
        <f>IF('Data Table'!F675="","SS",IF('Data Table'!F675="SF","SD",TRIM('Data Table'!F675)))</f>
        <v>SS</v>
      </c>
      <c r="D678" s="106" t="str">
        <f ca="1">IF(ISBLANK(OFFSET('Data Table'!$A673,2,Settings!$G$5-1)),"",OFFSET('Data Table'!$A673,2,Settings!$G$5-1))</f>
        <v/>
      </c>
      <c r="E678" s="106">
        <f ca="1">IF(ISBLANK(OFFSET('Data Table'!$A673,2,Settings!$G$5)),"",OFFSET('Data Table'!$A673,2,Settings!$G$5))</f>
        <v>9.2159999999999993</v>
      </c>
      <c r="F678" s="143" t="str">
        <f ca="1">IF(ISBLANK(OFFSET('Data Table'!$A673,2,Settings!$G$5+1)),"",OFFSET('Data Table'!$A673,2,Settings!$G$5+1))</f>
        <v/>
      </c>
      <c r="G678">
        <f t="shared" ca="1" si="10"/>
        <v>9.2159999999999993</v>
      </c>
      <c r="H678">
        <f ca="1">IF(G678=-888,"",IF(G678=-999,Settings!$G$4,IF(AND($AA$6="Excluded",G678&gt;=Settings!$G$2),"",G678)))</f>
        <v>9.2159999999999993</v>
      </c>
      <c r="I678">
        <f ca="1">IF(OR(G678=-999,G678=-888,AND($AA$6="Excluded",G678&gt;=Settings!$G$2)),"",G678)</f>
        <v>9.2159999999999993</v>
      </c>
      <c r="O678" s="46"/>
    </row>
    <row r="679" spans="1:15" x14ac:dyDescent="0.2">
      <c r="A679" s="1">
        <v>674</v>
      </c>
      <c r="B679" t="str">
        <f>IF(ISERROR(MATCH(TRIM('Data Table'!D676),Settings!$G$15:$G$20,0)),TRIM('Data Table'!D676),LOOKUP(TRIM('Data Table'!D676),Settings!$G$15:$G$20,Settings!$H$15:$H$20))</f>
        <v>New Hanover</v>
      </c>
      <c r="C679" t="str">
        <f>IF('Data Table'!F676="","SS",IF('Data Table'!F676="SF","SD",TRIM('Data Table'!F676)))</f>
        <v>SS</v>
      </c>
      <c r="D679" s="106" t="str">
        <f ca="1">IF(ISBLANK(OFFSET('Data Table'!$A674,2,Settings!$G$5-1)),"",OFFSET('Data Table'!$A674,2,Settings!$G$5-1))</f>
        <v/>
      </c>
      <c r="E679" s="106">
        <f ca="1">IF(ISBLANK(OFFSET('Data Table'!$A674,2,Settings!$G$5)),"",OFFSET('Data Table'!$A674,2,Settings!$G$5))</f>
        <v>6.4799999999999995</v>
      </c>
      <c r="F679" s="143" t="str">
        <f ca="1">IF(ISBLANK(OFFSET('Data Table'!$A674,2,Settings!$G$5+1)),"",OFFSET('Data Table'!$A674,2,Settings!$G$5+1))</f>
        <v/>
      </c>
      <c r="G679">
        <f t="shared" ca="1" si="10"/>
        <v>6.4799999999999995</v>
      </c>
      <c r="H679">
        <f ca="1">IF(G679=-888,"",IF(G679=-999,Settings!$G$4,IF(AND($AA$6="Excluded",G679&gt;=Settings!$G$2),"",G679)))</f>
        <v>6.4799999999999995</v>
      </c>
      <c r="I679">
        <f ca="1">IF(OR(G679=-999,G679=-888,AND($AA$6="Excluded",G679&gt;=Settings!$G$2)),"",G679)</f>
        <v>6.4799999999999995</v>
      </c>
      <c r="O679" s="46"/>
    </row>
    <row r="680" spans="1:15" x14ac:dyDescent="0.2">
      <c r="A680" s="1">
        <v>675</v>
      </c>
      <c r="B680" t="str">
        <f>IF(ISERROR(MATCH(TRIM('Data Table'!D677),Settings!$G$15:$G$20,0)),TRIM('Data Table'!D677),LOOKUP(TRIM('Data Table'!D677),Settings!$G$15:$G$20,Settings!$H$15:$H$20))</f>
        <v>New Hanover</v>
      </c>
      <c r="C680" t="str">
        <f>IF('Data Table'!F677="","SS",IF('Data Table'!F677="SF","SD",TRIM('Data Table'!F677)))</f>
        <v>SB</v>
      </c>
      <c r="D680" s="106" t="str">
        <f ca="1">IF(ISBLANK(OFFSET('Data Table'!$A675,2,Settings!$G$5-1)),"",OFFSET('Data Table'!$A675,2,Settings!$G$5-1))</f>
        <v/>
      </c>
      <c r="E680" s="106">
        <f ca="1">IF(ISBLANK(OFFSET('Data Table'!$A675,2,Settings!$G$5)),"",OFFSET('Data Table'!$A675,2,Settings!$G$5))</f>
        <v>7.92</v>
      </c>
      <c r="F680" s="143" t="str">
        <f ca="1">IF(ISBLANK(OFFSET('Data Table'!$A675,2,Settings!$G$5+1)),"",OFFSET('Data Table'!$A675,2,Settings!$G$5+1))</f>
        <v/>
      </c>
      <c r="G680">
        <f t="shared" ca="1" si="10"/>
        <v>7.92</v>
      </c>
      <c r="H680">
        <f ca="1">IF(G680=-888,"",IF(G680=-999,Settings!$G$4,IF(AND($AA$6="Excluded",G680&gt;=Settings!$G$2),"",G680)))</f>
        <v>7.92</v>
      </c>
      <c r="I680">
        <f ca="1">IF(OR(G680=-999,G680=-888,AND($AA$6="Excluded",G680&gt;=Settings!$G$2)),"",G680)</f>
        <v>7.92</v>
      </c>
      <c r="O680" s="46"/>
    </row>
    <row r="681" spans="1:15" x14ac:dyDescent="0.2">
      <c r="A681" s="1">
        <v>676</v>
      </c>
      <c r="B681" t="str">
        <f>IF(ISERROR(MATCH(TRIM('Data Table'!D678),Settings!$G$15:$G$20,0)),TRIM('Data Table'!D678),LOOKUP(TRIM('Data Table'!D678),Settings!$G$15:$G$20,Settings!$H$15:$H$20))</f>
        <v>New Hanover</v>
      </c>
      <c r="C681" t="str">
        <f>IF('Data Table'!F678="","SS",IF('Data Table'!F678="SF","SD",TRIM('Data Table'!F678)))</f>
        <v>SB</v>
      </c>
      <c r="D681" s="106" t="str">
        <f ca="1">IF(ISBLANK(OFFSET('Data Table'!$A676,2,Settings!$G$5-1)),"",OFFSET('Data Table'!$A676,2,Settings!$G$5-1))</f>
        <v/>
      </c>
      <c r="E681" s="106">
        <f ca="1">IF(ISBLANK(OFFSET('Data Table'!$A676,2,Settings!$G$5)),"",OFFSET('Data Table'!$A676,2,Settings!$G$5))</f>
        <v>11.375999999999999</v>
      </c>
      <c r="F681" s="143" t="str">
        <f ca="1">IF(ISBLANK(OFFSET('Data Table'!$A676,2,Settings!$G$5+1)),"",OFFSET('Data Table'!$A676,2,Settings!$G$5+1))</f>
        <v/>
      </c>
      <c r="G681">
        <f t="shared" ca="1" si="10"/>
        <v>11.375999999999999</v>
      </c>
      <c r="H681">
        <f ca="1">IF(G681=-888,"",IF(G681=-999,Settings!$G$4,IF(AND($AA$6="Excluded",G681&gt;=Settings!$G$2),"",G681)))</f>
        <v>11.375999999999999</v>
      </c>
      <c r="I681">
        <f ca="1">IF(OR(G681=-999,G681=-888,AND($AA$6="Excluded",G681&gt;=Settings!$G$2)),"",G681)</f>
        <v>11.375999999999999</v>
      </c>
      <c r="O681" s="46"/>
    </row>
    <row r="682" spans="1:15" x14ac:dyDescent="0.2">
      <c r="A682" s="1">
        <v>677</v>
      </c>
      <c r="B682" t="str">
        <f>IF(ISERROR(MATCH(TRIM('Data Table'!D679),Settings!$G$15:$G$20,0)),TRIM('Data Table'!D679),LOOKUP(TRIM('Data Table'!D679),Settings!$G$15:$G$20,Settings!$H$15:$H$20))</f>
        <v>New Hanover</v>
      </c>
      <c r="C682" t="str">
        <f>IF('Data Table'!F679="","SS",IF('Data Table'!F679="SF","SD",TRIM('Data Table'!F679)))</f>
        <v>SB</v>
      </c>
      <c r="D682" s="106" t="str">
        <f ca="1">IF(ISBLANK(OFFSET('Data Table'!$A677,2,Settings!$G$5-1)),"",OFFSET('Data Table'!$A677,2,Settings!$G$5-1))</f>
        <v/>
      </c>
      <c r="E682" s="106">
        <f ca="1">IF(ISBLANK(OFFSET('Data Table'!$A677,2,Settings!$G$5)),"",OFFSET('Data Table'!$A677,2,Settings!$G$5))</f>
        <v>7.3439999999999994</v>
      </c>
      <c r="F682" s="143" t="str">
        <f ca="1">IF(ISBLANK(OFFSET('Data Table'!$A677,2,Settings!$G$5+1)),"",OFFSET('Data Table'!$A677,2,Settings!$G$5+1))</f>
        <v/>
      </c>
      <c r="G682">
        <f t="shared" ca="1" si="10"/>
        <v>7.3439999999999994</v>
      </c>
      <c r="H682">
        <f ca="1">IF(G682=-888,"",IF(G682=-999,Settings!$G$4,IF(AND($AA$6="Excluded",G682&gt;=Settings!$G$2),"",G682)))</f>
        <v>7.3439999999999994</v>
      </c>
      <c r="I682">
        <f ca="1">IF(OR(G682=-999,G682=-888,AND($AA$6="Excluded",G682&gt;=Settings!$G$2)),"",G682)</f>
        <v>7.3439999999999994</v>
      </c>
      <c r="O682" s="46"/>
    </row>
    <row r="683" spans="1:15" x14ac:dyDescent="0.2">
      <c r="A683" s="1">
        <v>678</v>
      </c>
      <c r="B683" t="str">
        <f>IF(ISERROR(MATCH(TRIM('Data Table'!D680),Settings!$G$15:$G$20,0)),TRIM('Data Table'!D680),LOOKUP(TRIM('Data Table'!D680),Settings!$G$15:$G$20,Settings!$H$15:$H$20))</f>
        <v>New Hanover</v>
      </c>
      <c r="C683" t="str">
        <f>IF('Data Table'!F680="","SS",IF('Data Table'!F680="SF","SD",TRIM('Data Table'!F680)))</f>
        <v>SB</v>
      </c>
      <c r="D683" s="106" t="str">
        <f ca="1">IF(ISBLANK(OFFSET('Data Table'!$A678,2,Settings!$G$5-1)),"",OFFSET('Data Table'!$A678,2,Settings!$G$5-1))</f>
        <v/>
      </c>
      <c r="E683" s="106">
        <f ca="1">IF(ISBLANK(OFFSET('Data Table'!$A678,2,Settings!$G$5)),"",OFFSET('Data Table'!$A678,2,Settings!$G$5))</f>
        <v>4.032</v>
      </c>
      <c r="F683" s="143" t="str">
        <f ca="1">IF(ISBLANK(OFFSET('Data Table'!$A678,2,Settings!$G$5+1)),"",OFFSET('Data Table'!$A678,2,Settings!$G$5+1))</f>
        <v/>
      </c>
      <c r="G683">
        <f t="shared" ca="1" si="10"/>
        <v>4.032</v>
      </c>
      <c r="H683">
        <f ca="1">IF(G683=-888,"",IF(G683=-999,Settings!$G$4,IF(AND($AA$6="Excluded",G683&gt;=Settings!$G$2),"",G683)))</f>
        <v>4.032</v>
      </c>
      <c r="I683">
        <f ca="1">IF(OR(G683=-999,G683=-888,AND($AA$6="Excluded",G683&gt;=Settings!$G$2)),"",G683)</f>
        <v>4.032</v>
      </c>
      <c r="O683" s="46"/>
    </row>
    <row r="684" spans="1:15" x14ac:dyDescent="0.2">
      <c r="A684" s="1">
        <v>679</v>
      </c>
      <c r="B684" t="str">
        <f>IF(ISERROR(MATCH(TRIM('Data Table'!D681),Settings!$G$15:$G$20,0)),TRIM('Data Table'!D681),LOOKUP(TRIM('Data Table'!D681),Settings!$G$15:$G$20,Settings!$H$15:$H$20))</f>
        <v>New Hanover</v>
      </c>
      <c r="C684" t="str">
        <f>IF('Data Table'!F681="","SS",IF('Data Table'!F681="SF","SD",TRIM('Data Table'!F681)))</f>
        <v>SB</v>
      </c>
      <c r="D684" s="106" t="str">
        <f ca="1">IF(ISBLANK(OFFSET('Data Table'!$A679,2,Settings!$G$5-1)),"",OFFSET('Data Table'!$A679,2,Settings!$G$5-1))</f>
        <v/>
      </c>
      <c r="E684" s="106">
        <f ca="1">IF(ISBLANK(OFFSET('Data Table'!$A679,2,Settings!$G$5)),"",OFFSET('Data Table'!$A679,2,Settings!$G$5))</f>
        <v>8.927999999999999</v>
      </c>
      <c r="F684" s="143" t="str">
        <f ca="1">IF(ISBLANK(OFFSET('Data Table'!$A679,2,Settings!$G$5+1)),"",OFFSET('Data Table'!$A679,2,Settings!$G$5+1))</f>
        <v/>
      </c>
      <c r="G684">
        <f t="shared" ca="1" si="10"/>
        <v>8.927999999999999</v>
      </c>
      <c r="H684">
        <f ca="1">IF(G684=-888,"",IF(G684=-999,Settings!$G$4,IF(AND($AA$6="Excluded",G684&gt;=Settings!$G$2),"",G684)))</f>
        <v>8.927999999999999</v>
      </c>
      <c r="I684">
        <f ca="1">IF(OR(G684=-999,G684=-888,AND($AA$6="Excluded",G684&gt;=Settings!$G$2)),"",G684)</f>
        <v>8.927999999999999</v>
      </c>
      <c r="O684" s="46"/>
    </row>
    <row r="685" spans="1:15" x14ac:dyDescent="0.2">
      <c r="A685" s="1">
        <v>680</v>
      </c>
      <c r="B685" t="str">
        <f>IF(ISERROR(MATCH(TRIM('Data Table'!D682),Settings!$G$15:$G$20,0)),TRIM('Data Table'!D682),LOOKUP(TRIM('Data Table'!D682),Settings!$G$15:$G$20,Settings!$H$15:$H$20))</f>
        <v>New Hanover</v>
      </c>
      <c r="C685" t="str">
        <f>IF('Data Table'!F682="","SS",IF('Data Table'!F682="SF","SD",TRIM('Data Table'!F682)))</f>
        <v>SB</v>
      </c>
      <c r="D685" s="106" t="str">
        <f ca="1">IF(ISBLANK(OFFSET('Data Table'!$A680,2,Settings!$G$5-1)),"",OFFSET('Data Table'!$A680,2,Settings!$G$5-1))</f>
        <v/>
      </c>
      <c r="E685" s="106">
        <f ca="1">IF(ISBLANK(OFFSET('Data Table'!$A680,2,Settings!$G$5)),"",OFFSET('Data Table'!$A680,2,Settings!$G$5))</f>
        <v>11.375999999999999</v>
      </c>
      <c r="F685" s="143" t="str">
        <f ca="1">IF(ISBLANK(OFFSET('Data Table'!$A680,2,Settings!$G$5+1)),"",OFFSET('Data Table'!$A680,2,Settings!$G$5+1))</f>
        <v/>
      </c>
      <c r="G685">
        <f t="shared" ca="1" si="10"/>
        <v>11.375999999999999</v>
      </c>
      <c r="H685">
        <f ca="1">IF(G685=-888,"",IF(G685=-999,Settings!$G$4,IF(AND($AA$6="Excluded",G685&gt;=Settings!$G$2),"",G685)))</f>
        <v>11.375999999999999</v>
      </c>
      <c r="I685">
        <f ca="1">IF(OR(G685=-999,G685=-888,AND($AA$6="Excluded",G685&gt;=Settings!$G$2)),"",G685)</f>
        <v>11.375999999999999</v>
      </c>
      <c r="O685" s="46"/>
    </row>
    <row r="686" spans="1:15" x14ac:dyDescent="0.2">
      <c r="A686" s="1">
        <v>681</v>
      </c>
      <c r="B686" t="str">
        <f>IF(ISERROR(MATCH(TRIM('Data Table'!D683),Settings!$G$15:$G$20,0)),TRIM('Data Table'!D683),LOOKUP(TRIM('Data Table'!D683),Settings!$G$15:$G$20,Settings!$H$15:$H$20))</f>
        <v>Mecklenburg</v>
      </c>
      <c r="C686" t="str">
        <f>IF('Data Table'!F683="","SS",IF('Data Table'!F683="SF","SD",TRIM('Data Table'!F683)))</f>
        <v>SS</v>
      </c>
      <c r="D686" s="106" t="str">
        <f ca="1">IF(ISBLANK(OFFSET('Data Table'!$A681,2,Settings!$G$5-1)),"",OFFSET('Data Table'!$A681,2,Settings!$G$5-1))</f>
        <v/>
      </c>
      <c r="E686" s="106" t="str">
        <f ca="1">IF(ISBLANK(OFFSET('Data Table'!$A681,2,Settings!$G$5)),"",OFFSET('Data Table'!$A681,2,Settings!$G$5))</f>
        <v/>
      </c>
      <c r="F686" s="143">
        <f ca="1">IF(ISBLANK(OFFSET('Data Table'!$A681,2,Settings!$G$5+1)),"",OFFSET('Data Table'!$A681,2,Settings!$G$5+1))</f>
        <v>20</v>
      </c>
      <c r="G686">
        <f t="shared" ca="1" si="10"/>
        <v>20</v>
      </c>
      <c r="H686">
        <f ca="1">IF(G686=-888,"",IF(G686=-999,Settings!$G$4,IF(AND($AA$6="Excluded",G686&gt;=Settings!$G$2),"",G686)))</f>
        <v>20</v>
      </c>
      <c r="I686">
        <f ca="1">IF(OR(G686=-999,G686=-888,AND($AA$6="Excluded",G686&gt;=Settings!$G$2)),"",G686)</f>
        <v>20</v>
      </c>
      <c r="O686" s="46"/>
    </row>
    <row r="687" spans="1:15" x14ac:dyDescent="0.2">
      <c r="A687" s="1">
        <v>682</v>
      </c>
      <c r="B687" t="str">
        <f>IF(ISERROR(MATCH(TRIM('Data Table'!D684),Settings!$G$15:$G$20,0)),TRIM('Data Table'!D684),LOOKUP(TRIM('Data Table'!D684),Settings!$G$15:$G$20,Settings!$H$15:$H$20))</f>
        <v>Mecklenburg</v>
      </c>
      <c r="C687" t="str">
        <f>IF('Data Table'!F684="","SS",IF('Data Table'!F684="SF","SD",TRIM('Data Table'!F684)))</f>
        <v>SB</v>
      </c>
      <c r="D687" s="106" t="str">
        <f ca="1">IF(ISBLANK(OFFSET('Data Table'!$A682,2,Settings!$G$5-1)),"",OFFSET('Data Table'!$A682,2,Settings!$G$5-1))</f>
        <v/>
      </c>
      <c r="E687" s="106" t="str">
        <f ca="1">IF(ISBLANK(OFFSET('Data Table'!$A682,2,Settings!$G$5)),"",OFFSET('Data Table'!$A682,2,Settings!$G$5))</f>
        <v/>
      </c>
      <c r="F687" s="143">
        <f ca="1">IF(ISBLANK(OFFSET('Data Table'!$A682,2,Settings!$G$5+1)),"",OFFSET('Data Table'!$A682,2,Settings!$G$5+1))</f>
        <v>20</v>
      </c>
      <c r="G687">
        <f t="shared" ca="1" si="10"/>
        <v>20</v>
      </c>
      <c r="H687">
        <f ca="1">IF(G687=-888,"",IF(G687=-999,Settings!$G$4,IF(AND($AA$6="Excluded",G687&gt;=Settings!$G$2),"",G687)))</f>
        <v>20</v>
      </c>
      <c r="I687">
        <f ca="1">IF(OR(G687=-999,G687=-888,AND($AA$6="Excluded",G687&gt;=Settings!$G$2)),"",G687)</f>
        <v>20</v>
      </c>
      <c r="O687" s="46"/>
    </row>
    <row r="688" spans="1:15" x14ac:dyDescent="0.2">
      <c r="A688" s="1">
        <v>683</v>
      </c>
      <c r="B688" t="str">
        <f>IF(ISERROR(MATCH(TRIM('Data Table'!D685),Settings!$G$15:$G$20,0)),TRIM('Data Table'!D685),LOOKUP(TRIM('Data Table'!D685),Settings!$G$15:$G$20,Settings!$H$15:$H$20))</f>
        <v>Cabarrus</v>
      </c>
      <c r="C688" t="str">
        <f>IF('Data Table'!F685="","SS",IF('Data Table'!F685="SF","SD",TRIM('Data Table'!F685)))</f>
        <v>SS</v>
      </c>
      <c r="D688" s="106">
        <f ca="1">IF(ISBLANK(OFFSET('Data Table'!$A683,2,Settings!$G$5-1)),"",OFFSET('Data Table'!$A683,2,Settings!$G$5-1))</f>
        <v>31</v>
      </c>
      <c r="E688" s="106" t="str">
        <f ca="1">IF(ISBLANK(OFFSET('Data Table'!$A683,2,Settings!$G$5)),"",OFFSET('Data Table'!$A683,2,Settings!$G$5))</f>
        <v/>
      </c>
      <c r="F688" s="143" t="str">
        <f ca="1">IF(ISBLANK(OFFSET('Data Table'!$A683,2,Settings!$G$5+1)),"",OFFSET('Data Table'!$A683,2,Settings!$G$5+1))</f>
        <v/>
      </c>
      <c r="G688">
        <f t="shared" ca="1" si="10"/>
        <v>31</v>
      </c>
      <c r="H688">
        <f ca="1">IF(G688=-888,"",IF(G688=-999,Settings!$G$4,IF(AND($AA$6="Excluded",G688&gt;=Settings!$G$2),"",G688)))</f>
        <v>31</v>
      </c>
      <c r="I688">
        <f ca="1">IF(OR(G688=-999,G688=-888,AND($AA$6="Excluded",G688&gt;=Settings!$G$2)),"",G688)</f>
        <v>31</v>
      </c>
      <c r="O688" s="46"/>
    </row>
    <row r="689" spans="1:15" x14ac:dyDescent="0.2">
      <c r="A689" s="1">
        <v>684</v>
      </c>
      <c r="B689" t="str">
        <f>IF(ISERROR(MATCH(TRIM('Data Table'!D686),Settings!$G$15:$G$20,0)),TRIM('Data Table'!D686),LOOKUP(TRIM('Data Table'!D686),Settings!$G$15:$G$20,Settings!$H$15:$H$20))</f>
        <v>Cabarrus</v>
      </c>
      <c r="C689" t="str">
        <f>IF('Data Table'!F686="","SS",IF('Data Table'!F686="SF","SD",TRIM('Data Table'!F686)))</f>
        <v>SD</v>
      </c>
      <c r="D689" s="106" t="str">
        <f ca="1">IF(ISBLANK(OFFSET('Data Table'!$A684,2,Settings!$G$5-1)),"",OFFSET('Data Table'!$A684,2,Settings!$G$5-1))</f>
        <v/>
      </c>
      <c r="E689" s="106" t="str">
        <f ca="1">IF(ISBLANK(OFFSET('Data Table'!$A684,2,Settings!$G$5)),"",OFFSET('Data Table'!$A684,2,Settings!$G$5))</f>
        <v/>
      </c>
      <c r="F689" s="143">
        <f ca="1">IF(ISBLANK(OFFSET('Data Table'!$A684,2,Settings!$G$5+1)),"",OFFSET('Data Table'!$A684,2,Settings!$G$5+1))</f>
        <v>20</v>
      </c>
      <c r="G689">
        <f t="shared" ca="1" si="10"/>
        <v>20</v>
      </c>
      <c r="H689">
        <f ca="1">IF(G689=-888,"",IF(G689=-999,Settings!$G$4,IF(AND($AA$6="Excluded",G689&gt;=Settings!$G$2),"",G689)))</f>
        <v>20</v>
      </c>
      <c r="I689">
        <f ca="1">IF(OR(G689=-999,G689=-888,AND($AA$6="Excluded",G689&gt;=Settings!$G$2)),"",G689)</f>
        <v>20</v>
      </c>
      <c r="O689" s="46"/>
    </row>
    <row r="690" spans="1:15" x14ac:dyDescent="0.2">
      <c r="A690" s="1">
        <v>685</v>
      </c>
      <c r="B690" t="str">
        <f>IF(ISERROR(MATCH(TRIM('Data Table'!D687),Settings!$G$15:$G$20,0)),TRIM('Data Table'!D687),LOOKUP(TRIM('Data Table'!D687),Settings!$G$15:$G$20,Settings!$H$15:$H$20))</f>
        <v>Hertford</v>
      </c>
      <c r="C690" t="str">
        <f>IF('Data Table'!F687="","SS",IF('Data Table'!F687="SF","SD",TRIM('Data Table'!F687)))</f>
        <v>SD</v>
      </c>
      <c r="D690" s="106" t="str">
        <f ca="1">IF(ISBLANK(OFFSET('Data Table'!$A685,2,Settings!$G$5-1)),"",OFFSET('Data Table'!$A685,2,Settings!$G$5-1))</f>
        <v>#</v>
      </c>
      <c r="E690" s="106" t="str">
        <f ca="1">IF(ISBLANK(OFFSET('Data Table'!$A685,2,Settings!$G$5)),"",OFFSET('Data Table'!$A685,2,Settings!$G$5))</f>
        <v/>
      </c>
      <c r="F690" s="143" t="str">
        <f ca="1">IF(ISBLANK(OFFSET('Data Table'!$A685,2,Settings!$G$5+1)),"",OFFSET('Data Table'!$A685,2,Settings!$G$5+1))</f>
        <v/>
      </c>
      <c r="G690">
        <f t="shared" ca="1" si="10"/>
        <v>-999</v>
      </c>
      <c r="H690">
        <f ca="1">IF(G690=-888,"",IF(G690=-999,Settings!$G$4,IF(AND($AA$6="Excluded",G690&gt;=Settings!$G$2),"",G690)))</f>
        <v>5.0000000000000001E-3</v>
      </c>
      <c r="I690" t="str">
        <f ca="1">IF(OR(G690=-999,G690=-888,AND($AA$6="Excluded",G690&gt;=Settings!$G$2)),"",G690)</f>
        <v/>
      </c>
      <c r="O690" s="46"/>
    </row>
    <row r="691" spans="1:15" x14ac:dyDescent="0.2">
      <c r="A691" s="1">
        <v>686</v>
      </c>
      <c r="B691" t="str">
        <f>IF(ISERROR(MATCH(TRIM('Data Table'!D688),Settings!$G$15:$G$20,0)),TRIM('Data Table'!D688),LOOKUP(TRIM('Data Table'!D688),Settings!$G$15:$G$20,Settings!$H$15:$H$20))</f>
        <v>Hertford</v>
      </c>
      <c r="C691" t="str">
        <f>IF('Data Table'!F688="","SS",IF('Data Table'!F688="SF","SD",TRIM('Data Table'!F688)))</f>
        <v>SD</v>
      </c>
      <c r="D691" s="106" t="str">
        <f ca="1">IF(ISBLANK(OFFSET('Data Table'!$A686,2,Settings!$G$5-1)),"",OFFSET('Data Table'!$A686,2,Settings!$G$5-1))</f>
        <v>#</v>
      </c>
      <c r="E691" s="106" t="str">
        <f ca="1">IF(ISBLANK(OFFSET('Data Table'!$A686,2,Settings!$G$5)),"",OFFSET('Data Table'!$A686,2,Settings!$G$5))</f>
        <v/>
      </c>
      <c r="F691" s="143" t="str">
        <f ca="1">IF(ISBLANK(OFFSET('Data Table'!$A686,2,Settings!$G$5+1)),"",OFFSET('Data Table'!$A686,2,Settings!$G$5+1))</f>
        <v/>
      </c>
      <c r="G691">
        <f t="shared" ca="1" si="10"/>
        <v>-999</v>
      </c>
      <c r="H691">
        <f ca="1">IF(G691=-888,"",IF(G691=-999,Settings!$G$4,IF(AND($AA$6="Excluded",G691&gt;=Settings!$G$2),"",G691)))</f>
        <v>5.0000000000000001E-3</v>
      </c>
      <c r="I691" t="str">
        <f ca="1">IF(OR(G691=-999,G691=-888,AND($AA$6="Excluded",G691&gt;=Settings!$G$2)),"",G691)</f>
        <v/>
      </c>
      <c r="O691" s="46"/>
    </row>
    <row r="692" spans="1:15" x14ac:dyDescent="0.2">
      <c r="A692" s="1">
        <v>687</v>
      </c>
      <c r="B692" t="str">
        <f>IF(ISERROR(MATCH(TRIM('Data Table'!D689),Settings!$G$15:$G$20,0)),TRIM('Data Table'!D689),LOOKUP(TRIM('Data Table'!D689),Settings!$G$15:$G$20,Settings!$H$15:$H$20))</f>
        <v>Hertford</v>
      </c>
      <c r="C692" t="str">
        <f>IF('Data Table'!F689="","SS",IF('Data Table'!F689="SF","SD",TRIM('Data Table'!F689)))</f>
        <v>SD</v>
      </c>
      <c r="D692" s="106" t="str">
        <f ca="1">IF(ISBLANK(OFFSET('Data Table'!$A687,2,Settings!$G$5-1)),"",OFFSET('Data Table'!$A687,2,Settings!$G$5-1))</f>
        <v>#</v>
      </c>
      <c r="E692" s="106" t="str">
        <f ca="1">IF(ISBLANK(OFFSET('Data Table'!$A687,2,Settings!$G$5)),"",OFFSET('Data Table'!$A687,2,Settings!$G$5))</f>
        <v/>
      </c>
      <c r="F692" s="143" t="str">
        <f ca="1">IF(ISBLANK(OFFSET('Data Table'!$A687,2,Settings!$G$5+1)),"",OFFSET('Data Table'!$A687,2,Settings!$G$5+1))</f>
        <v/>
      </c>
      <c r="G692">
        <f t="shared" ca="1" si="10"/>
        <v>-999</v>
      </c>
      <c r="H692">
        <f ca="1">IF(G692=-888,"",IF(G692=-999,Settings!$G$4,IF(AND($AA$6="Excluded",G692&gt;=Settings!$G$2),"",G692)))</f>
        <v>5.0000000000000001E-3</v>
      </c>
      <c r="I692" t="str">
        <f ca="1">IF(OR(G692=-999,G692=-888,AND($AA$6="Excluded",G692&gt;=Settings!$G$2)),"",G692)</f>
        <v/>
      </c>
      <c r="O692" s="46"/>
    </row>
    <row r="693" spans="1:15" x14ac:dyDescent="0.2">
      <c r="A693" s="1">
        <v>688</v>
      </c>
      <c r="B693" t="str">
        <f>IF(ISERROR(MATCH(TRIM('Data Table'!D690),Settings!$G$15:$G$20,0)),TRIM('Data Table'!D690),LOOKUP(TRIM('Data Table'!D690),Settings!$G$15:$G$20,Settings!$H$15:$H$20))</f>
        <v>Buncombe</v>
      </c>
      <c r="C693" t="str">
        <f>IF('Data Table'!F690="","SS",IF('Data Table'!F690="SF","SD",TRIM('Data Table'!F690)))</f>
        <v>SB</v>
      </c>
      <c r="D693" s="106">
        <f ca="1">IF(ISBLANK(OFFSET('Data Table'!$A688,2,Settings!$G$5-1)),"",OFFSET('Data Table'!$A688,2,Settings!$G$5-1))</f>
        <v>11</v>
      </c>
      <c r="E693" s="106" t="str">
        <f ca="1">IF(ISBLANK(OFFSET('Data Table'!$A688,2,Settings!$G$5)),"",OFFSET('Data Table'!$A688,2,Settings!$G$5))</f>
        <v/>
      </c>
      <c r="F693" s="143" t="str">
        <f ca="1">IF(ISBLANK(OFFSET('Data Table'!$A688,2,Settings!$G$5+1)),"",OFFSET('Data Table'!$A688,2,Settings!$G$5+1))</f>
        <v/>
      </c>
      <c r="G693">
        <f t="shared" ca="1" si="10"/>
        <v>11</v>
      </c>
      <c r="H693">
        <f ca="1">IF(G693=-888,"",IF(G693=-999,Settings!$G$4,IF(AND($AA$6="Excluded",G693&gt;=Settings!$G$2),"",G693)))</f>
        <v>11</v>
      </c>
      <c r="I693">
        <f ca="1">IF(OR(G693=-999,G693=-888,AND($AA$6="Excluded",G693&gt;=Settings!$G$2)),"",G693)</f>
        <v>11</v>
      </c>
      <c r="O693" s="46"/>
    </row>
    <row r="694" spans="1:15" x14ac:dyDescent="0.2">
      <c r="A694" s="1">
        <v>689</v>
      </c>
      <c r="B694" t="str">
        <f>IF(ISERROR(MATCH(TRIM('Data Table'!D691),Settings!$G$15:$G$20,0)),TRIM('Data Table'!D691),LOOKUP(TRIM('Data Table'!D691),Settings!$G$15:$G$20,Settings!$H$15:$H$20))</f>
        <v>Moore</v>
      </c>
      <c r="C694" t="str">
        <f>IF('Data Table'!F691="","SS",IF('Data Table'!F691="SF","SD",TRIM('Data Table'!F691)))</f>
        <v>SS</v>
      </c>
      <c r="D694" s="106" t="str">
        <f ca="1">IF(ISBLANK(OFFSET('Data Table'!$A689,2,Settings!$G$5-1)),"",OFFSET('Data Table'!$A689,2,Settings!$G$5-1))</f>
        <v/>
      </c>
      <c r="E694" s="106" t="str">
        <f ca="1">IF(ISBLANK(OFFSET('Data Table'!$A689,2,Settings!$G$5)),"",OFFSET('Data Table'!$A689,2,Settings!$G$5))</f>
        <v/>
      </c>
      <c r="F694" s="143">
        <f ca="1">IF(ISBLANK(OFFSET('Data Table'!$A689,2,Settings!$G$5+1)),"",OFFSET('Data Table'!$A689,2,Settings!$G$5+1))</f>
        <v>19</v>
      </c>
      <c r="G694">
        <f t="shared" ca="1" si="10"/>
        <v>19</v>
      </c>
      <c r="H694">
        <f ca="1">IF(G694=-888,"",IF(G694=-999,Settings!$G$4,IF(AND($AA$6="Excluded",G694&gt;=Settings!$G$2),"",G694)))</f>
        <v>19</v>
      </c>
      <c r="I694">
        <f ca="1">IF(OR(G694=-999,G694=-888,AND($AA$6="Excluded",G694&gt;=Settings!$G$2)),"",G694)</f>
        <v>19</v>
      </c>
      <c r="O694" s="46"/>
    </row>
    <row r="695" spans="1:15" x14ac:dyDescent="0.2">
      <c r="A695" s="1">
        <v>690</v>
      </c>
      <c r="B695" t="str">
        <f>IF(ISERROR(MATCH(TRIM('Data Table'!D692),Settings!$G$15:$G$20,0)),TRIM('Data Table'!D692),LOOKUP(TRIM('Data Table'!D692),Settings!$G$15:$G$20,Settings!$H$15:$H$20))</f>
        <v>Moore</v>
      </c>
      <c r="C695" t="str">
        <f>IF('Data Table'!F692="","SS",IF('Data Table'!F692="SF","SD",TRIM('Data Table'!F692)))</f>
        <v>SS</v>
      </c>
      <c r="D695" s="106" t="str">
        <f ca="1">IF(ISBLANK(OFFSET('Data Table'!$A690,2,Settings!$G$5-1)),"",OFFSET('Data Table'!$A690,2,Settings!$G$5-1))</f>
        <v/>
      </c>
      <c r="E695" s="106" t="str">
        <f ca="1">IF(ISBLANK(OFFSET('Data Table'!$A690,2,Settings!$G$5)),"",OFFSET('Data Table'!$A690,2,Settings!$G$5))</f>
        <v/>
      </c>
      <c r="F695" s="143">
        <f ca="1">IF(ISBLANK(OFFSET('Data Table'!$A690,2,Settings!$G$5+1)),"",OFFSET('Data Table'!$A690,2,Settings!$G$5+1))</f>
        <v>2</v>
      </c>
      <c r="G695">
        <f t="shared" ca="1" si="10"/>
        <v>2</v>
      </c>
      <c r="H695">
        <f ca="1">IF(G695=-888,"",IF(G695=-999,Settings!$G$4,IF(AND($AA$6="Excluded",G695&gt;=Settings!$G$2),"",G695)))</f>
        <v>2</v>
      </c>
      <c r="I695">
        <f ca="1">IF(OR(G695=-999,G695=-888,AND($AA$6="Excluded",G695&gt;=Settings!$G$2)),"",G695)</f>
        <v>2</v>
      </c>
      <c r="O695" s="46"/>
    </row>
    <row r="696" spans="1:15" x14ac:dyDescent="0.2">
      <c r="A696" s="1">
        <v>691</v>
      </c>
      <c r="B696" t="str">
        <f>IF(ISERROR(MATCH(TRIM('Data Table'!D693),Settings!$G$15:$G$20,0)),TRIM('Data Table'!D693),LOOKUP(TRIM('Data Table'!D693),Settings!$G$15:$G$20,Settings!$H$15:$H$20))</f>
        <v>Buncombe</v>
      </c>
      <c r="C696" t="str">
        <f>IF('Data Table'!F693="","SS",IF('Data Table'!F693="SF","SD",TRIM('Data Table'!F693)))</f>
        <v>SS</v>
      </c>
      <c r="D696" s="106">
        <f ca="1">IF(ISBLANK(OFFSET('Data Table'!$A691,2,Settings!$G$5-1)),"",OFFSET('Data Table'!$A691,2,Settings!$G$5-1))</f>
        <v>52</v>
      </c>
      <c r="E696" s="106" t="str">
        <f ca="1">IF(ISBLANK(OFFSET('Data Table'!$A691,2,Settings!$G$5)),"",OFFSET('Data Table'!$A691,2,Settings!$G$5))</f>
        <v/>
      </c>
      <c r="F696" s="143" t="str">
        <f ca="1">IF(ISBLANK(OFFSET('Data Table'!$A691,2,Settings!$G$5+1)),"",OFFSET('Data Table'!$A691,2,Settings!$G$5+1))</f>
        <v/>
      </c>
      <c r="G696">
        <f t="shared" ca="1" si="10"/>
        <v>52</v>
      </c>
      <c r="H696">
        <f ca="1">IF(G696=-888,"",IF(G696=-999,Settings!$G$4,IF(AND($AA$6="Excluded",G696&gt;=Settings!$G$2),"",G696)))</f>
        <v>52</v>
      </c>
      <c r="I696">
        <f ca="1">IF(OR(G696=-999,G696=-888,AND($AA$6="Excluded",G696&gt;=Settings!$G$2)),"",G696)</f>
        <v>52</v>
      </c>
      <c r="O696" s="46"/>
    </row>
    <row r="697" spans="1:15" x14ac:dyDescent="0.2">
      <c r="A697" s="1">
        <v>692</v>
      </c>
      <c r="B697" t="str">
        <f>IF(ISERROR(MATCH(TRIM('Data Table'!D694),Settings!$G$15:$G$20,0)),TRIM('Data Table'!D694),LOOKUP(TRIM('Data Table'!D694),Settings!$G$15:$G$20,Settings!$H$15:$H$20))</f>
        <v>Buncombe</v>
      </c>
      <c r="C697" t="str">
        <f>IF('Data Table'!F694="","SS",IF('Data Table'!F694="SF","SD",TRIM('Data Table'!F694)))</f>
        <v>SD</v>
      </c>
      <c r="D697" s="106">
        <f ca="1">IF(ISBLANK(OFFSET('Data Table'!$A692,2,Settings!$G$5-1)),"",OFFSET('Data Table'!$A692,2,Settings!$G$5-1))</f>
        <v>16</v>
      </c>
      <c r="E697" s="106" t="str">
        <f ca="1">IF(ISBLANK(OFFSET('Data Table'!$A692,2,Settings!$G$5)),"",OFFSET('Data Table'!$A692,2,Settings!$G$5))</f>
        <v/>
      </c>
      <c r="F697" s="143" t="str">
        <f ca="1">IF(ISBLANK(OFFSET('Data Table'!$A692,2,Settings!$G$5+1)),"",OFFSET('Data Table'!$A692,2,Settings!$G$5+1))</f>
        <v/>
      </c>
      <c r="G697">
        <f t="shared" ca="1" si="10"/>
        <v>16</v>
      </c>
      <c r="H697">
        <f ca="1">IF(G697=-888,"",IF(G697=-999,Settings!$G$4,IF(AND($AA$6="Excluded",G697&gt;=Settings!$G$2),"",G697)))</f>
        <v>16</v>
      </c>
      <c r="I697">
        <f ca="1">IF(OR(G697=-999,G697=-888,AND($AA$6="Excluded",G697&gt;=Settings!$G$2)),"",G697)</f>
        <v>16</v>
      </c>
      <c r="O697" s="46"/>
    </row>
    <row r="698" spans="1:15" x14ac:dyDescent="0.2">
      <c r="A698" s="1">
        <v>693</v>
      </c>
      <c r="B698" t="str">
        <f>IF(ISERROR(MATCH(TRIM('Data Table'!D695),Settings!$G$15:$G$20,0)),TRIM('Data Table'!D695),LOOKUP(TRIM('Data Table'!D695),Settings!$G$15:$G$20,Settings!$H$15:$H$20))</f>
        <v>Buncombe</v>
      </c>
      <c r="C698" t="str">
        <f>IF('Data Table'!F695="","SS",IF('Data Table'!F695="SF","SD",TRIM('Data Table'!F695)))</f>
        <v>SD</v>
      </c>
      <c r="D698" s="106">
        <f ca="1">IF(ISBLANK(OFFSET('Data Table'!$A693,2,Settings!$G$5-1)),"",OFFSET('Data Table'!$A693,2,Settings!$G$5-1))</f>
        <v>20</v>
      </c>
      <c r="E698" s="106" t="str">
        <f ca="1">IF(ISBLANK(OFFSET('Data Table'!$A693,2,Settings!$G$5)),"",OFFSET('Data Table'!$A693,2,Settings!$G$5))</f>
        <v/>
      </c>
      <c r="F698" s="143" t="str">
        <f ca="1">IF(ISBLANK(OFFSET('Data Table'!$A693,2,Settings!$G$5+1)),"",OFFSET('Data Table'!$A693,2,Settings!$G$5+1))</f>
        <v/>
      </c>
      <c r="G698">
        <f t="shared" ca="1" si="10"/>
        <v>20</v>
      </c>
      <c r="H698">
        <f ca="1">IF(G698=-888,"",IF(G698=-999,Settings!$G$4,IF(AND($AA$6="Excluded",G698&gt;=Settings!$G$2),"",G698)))</f>
        <v>20</v>
      </c>
      <c r="I698">
        <f ca="1">IF(OR(G698=-999,G698=-888,AND($AA$6="Excluded",G698&gt;=Settings!$G$2)),"",G698)</f>
        <v>20</v>
      </c>
      <c r="O698" s="46"/>
    </row>
    <row r="699" spans="1:15" x14ac:dyDescent="0.2">
      <c r="A699" s="1">
        <v>694</v>
      </c>
      <c r="B699" t="str">
        <f>IF(ISERROR(MATCH(TRIM('Data Table'!D696),Settings!$G$15:$G$20,0)),TRIM('Data Table'!D696),LOOKUP(TRIM('Data Table'!D696),Settings!$G$15:$G$20,Settings!$H$15:$H$20))</f>
        <v>Iredell</v>
      </c>
      <c r="C699" t="str">
        <f>IF('Data Table'!F696="","SS",IF('Data Table'!F696="SF","SD",TRIM('Data Table'!F696)))</f>
        <v>SS</v>
      </c>
      <c r="D699" s="106" t="str">
        <f ca="1">IF(ISBLANK(OFFSET('Data Table'!$A694,2,Settings!$G$5-1)),"",OFFSET('Data Table'!$A694,2,Settings!$G$5-1))</f>
        <v/>
      </c>
      <c r="E699" s="106">
        <f ca="1">IF(ISBLANK(OFFSET('Data Table'!$A694,2,Settings!$G$5)),"",OFFSET('Data Table'!$A694,2,Settings!$G$5))</f>
        <v>8.3520000000000003</v>
      </c>
      <c r="F699" s="143" t="str">
        <f ca="1">IF(ISBLANK(OFFSET('Data Table'!$A694,2,Settings!$G$5+1)),"",OFFSET('Data Table'!$A694,2,Settings!$G$5+1))</f>
        <v/>
      </c>
      <c r="G699">
        <f t="shared" ca="1" si="10"/>
        <v>8.3520000000000003</v>
      </c>
      <c r="H699">
        <f ca="1">IF(G699=-888,"",IF(G699=-999,Settings!$G$4,IF(AND($AA$6="Excluded",G699&gt;=Settings!$G$2),"",G699)))</f>
        <v>8.3520000000000003</v>
      </c>
      <c r="I699">
        <f ca="1">IF(OR(G699=-999,G699=-888,AND($AA$6="Excluded",G699&gt;=Settings!$G$2)),"",G699)</f>
        <v>8.3520000000000003</v>
      </c>
      <c r="O699" s="46"/>
    </row>
    <row r="700" spans="1:15" x14ac:dyDescent="0.2">
      <c r="A700" s="1">
        <v>695</v>
      </c>
      <c r="B700" t="str">
        <f>IF(ISERROR(MATCH(TRIM('Data Table'!D697),Settings!$G$15:$G$20,0)),TRIM('Data Table'!D697),LOOKUP(TRIM('Data Table'!D697),Settings!$G$15:$G$20,Settings!$H$15:$H$20))</f>
        <v>Iredell</v>
      </c>
      <c r="C700" t="str">
        <f>IF('Data Table'!F697="","SS",IF('Data Table'!F697="SF","SD",TRIM('Data Table'!F697)))</f>
        <v>SB</v>
      </c>
      <c r="D700" s="106" t="str">
        <f ca="1">IF(ISBLANK(OFFSET('Data Table'!$A695,2,Settings!$G$5-1)),"",OFFSET('Data Table'!$A695,2,Settings!$G$5-1))</f>
        <v/>
      </c>
      <c r="E700" s="106">
        <f ca="1">IF(ISBLANK(OFFSET('Data Table'!$A695,2,Settings!$G$5)),"",OFFSET('Data Table'!$A695,2,Settings!$G$5))</f>
        <v>14.399999999999999</v>
      </c>
      <c r="F700" s="143" t="str">
        <f ca="1">IF(ISBLANK(OFFSET('Data Table'!$A695,2,Settings!$G$5+1)),"",OFFSET('Data Table'!$A695,2,Settings!$G$5+1))</f>
        <v/>
      </c>
      <c r="G700">
        <f t="shared" ca="1" si="10"/>
        <v>14.399999999999999</v>
      </c>
      <c r="H700">
        <f ca="1">IF(G700=-888,"",IF(G700=-999,Settings!$G$4,IF(AND($AA$6="Excluded",G700&gt;=Settings!$G$2),"",G700)))</f>
        <v>14.399999999999999</v>
      </c>
      <c r="I700">
        <f ca="1">IF(OR(G700=-999,G700=-888,AND($AA$6="Excluded",G700&gt;=Settings!$G$2)),"",G700)</f>
        <v>14.399999999999999</v>
      </c>
      <c r="O700" s="46"/>
    </row>
    <row r="701" spans="1:15" x14ac:dyDescent="0.2">
      <c r="A701" s="1">
        <v>696</v>
      </c>
      <c r="B701" t="str">
        <f>IF(ISERROR(MATCH(TRIM('Data Table'!D698),Settings!$G$15:$G$20,0)),TRIM('Data Table'!D698),LOOKUP(TRIM('Data Table'!D698),Settings!$G$15:$G$20,Settings!$H$15:$H$20))</f>
        <v>Iredell</v>
      </c>
      <c r="C701" t="str">
        <f>IF('Data Table'!F698="","SS",IF('Data Table'!F698="SF","SD",TRIM('Data Table'!F698)))</f>
        <v>SS</v>
      </c>
      <c r="D701" s="106">
        <f ca="1">IF(ISBLANK(OFFSET('Data Table'!$A696,2,Settings!$G$5-1)),"",OFFSET('Data Table'!$A696,2,Settings!$G$5-1))</f>
        <v>24</v>
      </c>
      <c r="E701" s="106" t="str">
        <f ca="1">IF(ISBLANK(OFFSET('Data Table'!$A696,2,Settings!$G$5)),"",OFFSET('Data Table'!$A696,2,Settings!$G$5))</f>
        <v/>
      </c>
      <c r="F701" s="143" t="str">
        <f ca="1">IF(ISBLANK(OFFSET('Data Table'!$A696,2,Settings!$G$5+1)),"",OFFSET('Data Table'!$A696,2,Settings!$G$5+1))</f>
        <v/>
      </c>
      <c r="G701">
        <f t="shared" ca="1" si="10"/>
        <v>24</v>
      </c>
      <c r="H701">
        <f ca="1">IF(G701=-888,"",IF(G701=-999,Settings!$G$4,IF(AND($AA$6="Excluded",G701&gt;=Settings!$G$2),"",G701)))</f>
        <v>24</v>
      </c>
      <c r="I701">
        <f ca="1">IF(OR(G701=-999,G701=-888,AND($AA$6="Excluded",G701&gt;=Settings!$G$2)),"",G701)</f>
        <v>24</v>
      </c>
      <c r="O701" s="46"/>
    </row>
    <row r="702" spans="1:15" x14ac:dyDescent="0.2">
      <c r="A702" s="1">
        <v>697</v>
      </c>
      <c r="B702" t="str">
        <f>IF(ISERROR(MATCH(TRIM('Data Table'!D699),Settings!$G$15:$G$20,0)),TRIM('Data Table'!D699),LOOKUP(TRIM('Data Table'!D699),Settings!$G$15:$G$20,Settings!$H$15:$H$20))</f>
        <v>Iredell</v>
      </c>
      <c r="C702" t="str">
        <f>IF('Data Table'!F699="","SS",IF('Data Table'!F699="SF","SD",TRIM('Data Table'!F699)))</f>
        <v>SS</v>
      </c>
      <c r="D702" s="106">
        <f ca="1">IF(ISBLANK(OFFSET('Data Table'!$A697,2,Settings!$G$5-1)),"",OFFSET('Data Table'!$A697,2,Settings!$G$5-1))</f>
        <v>9.4</v>
      </c>
      <c r="E702" s="106" t="str">
        <f ca="1">IF(ISBLANK(OFFSET('Data Table'!$A697,2,Settings!$G$5)),"",OFFSET('Data Table'!$A697,2,Settings!$G$5))</f>
        <v/>
      </c>
      <c r="F702" s="143" t="str">
        <f ca="1">IF(ISBLANK(OFFSET('Data Table'!$A697,2,Settings!$G$5+1)),"",OFFSET('Data Table'!$A697,2,Settings!$G$5+1))</f>
        <v/>
      </c>
      <c r="G702">
        <f t="shared" ca="1" si="10"/>
        <v>9.4</v>
      </c>
      <c r="H702">
        <f ca="1">IF(G702=-888,"",IF(G702=-999,Settings!$G$4,IF(AND($AA$6="Excluded",G702&gt;=Settings!$G$2),"",G702)))</f>
        <v>9.4</v>
      </c>
      <c r="I702">
        <f ca="1">IF(OR(G702=-999,G702=-888,AND($AA$6="Excluded",G702&gt;=Settings!$G$2)),"",G702)</f>
        <v>9.4</v>
      </c>
      <c r="O702" s="46"/>
    </row>
    <row r="703" spans="1:15" x14ac:dyDescent="0.2">
      <c r="A703" s="1">
        <v>698</v>
      </c>
      <c r="B703" t="str">
        <f>IF(ISERROR(MATCH(TRIM('Data Table'!D700),Settings!$G$15:$G$20,0)),TRIM('Data Table'!D700),LOOKUP(TRIM('Data Table'!D700),Settings!$G$15:$G$20,Settings!$H$15:$H$20))</f>
        <v>Iredell</v>
      </c>
      <c r="C703" t="str">
        <f>IF('Data Table'!F700="","SS",IF('Data Table'!F700="SF","SD",TRIM('Data Table'!F700)))</f>
        <v>SB</v>
      </c>
      <c r="D703" s="106">
        <f ca="1">IF(ISBLANK(OFFSET('Data Table'!$A698,2,Settings!$G$5-1)),"",OFFSET('Data Table'!$A698,2,Settings!$G$5-1))</f>
        <v>12</v>
      </c>
      <c r="E703" s="106" t="str">
        <f ca="1">IF(ISBLANK(OFFSET('Data Table'!$A698,2,Settings!$G$5)),"",OFFSET('Data Table'!$A698,2,Settings!$G$5))</f>
        <v/>
      </c>
      <c r="F703" s="143" t="str">
        <f ca="1">IF(ISBLANK(OFFSET('Data Table'!$A698,2,Settings!$G$5+1)),"",OFFSET('Data Table'!$A698,2,Settings!$G$5+1))</f>
        <v/>
      </c>
      <c r="G703">
        <f t="shared" ca="1" si="10"/>
        <v>12</v>
      </c>
      <c r="H703">
        <f ca="1">IF(G703=-888,"",IF(G703=-999,Settings!$G$4,IF(AND($AA$6="Excluded",G703&gt;=Settings!$G$2),"",G703)))</f>
        <v>12</v>
      </c>
      <c r="I703">
        <f ca="1">IF(OR(G703=-999,G703=-888,AND($AA$6="Excluded",G703&gt;=Settings!$G$2)),"",G703)</f>
        <v>12</v>
      </c>
      <c r="O703" s="46"/>
    </row>
    <row r="704" spans="1:15" x14ac:dyDescent="0.2">
      <c r="A704" s="1">
        <v>699</v>
      </c>
      <c r="B704" t="str">
        <f>IF(ISERROR(MATCH(TRIM('Data Table'!D701),Settings!$G$15:$G$20,0)),TRIM('Data Table'!D701),LOOKUP(TRIM('Data Table'!D701),Settings!$G$15:$G$20,Settings!$H$15:$H$20))</f>
        <v>Iredell</v>
      </c>
      <c r="C704" t="str">
        <f>IF('Data Table'!F701="","SS",IF('Data Table'!F701="SF","SD",TRIM('Data Table'!F701)))</f>
        <v>SB</v>
      </c>
      <c r="D704" s="106">
        <f ca="1">IF(ISBLANK(OFFSET('Data Table'!$A699,2,Settings!$G$5-1)),"",OFFSET('Data Table'!$A699,2,Settings!$G$5-1))</f>
        <v>12</v>
      </c>
      <c r="E704" s="106" t="str">
        <f ca="1">IF(ISBLANK(OFFSET('Data Table'!$A699,2,Settings!$G$5)),"",OFFSET('Data Table'!$A699,2,Settings!$G$5))</f>
        <v/>
      </c>
      <c r="F704" s="143" t="str">
        <f ca="1">IF(ISBLANK(OFFSET('Data Table'!$A699,2,Settings!$G$5+1)),"",OFFSET('Data Table'!$A699,2,Settings!$G$5+1))</f>
        <v/>
      </c>
      <c r="G704">
        <f t="shared" ca="1" si="10"/>
        <v>12</v>
      </c>
      <c r="H704">
        <f ca="1">IF(G704=-888,"",IF(G704=-999,Settings!$G$4,IF(AND($AA$6="Excluded",G704&gt;=Settings!$G$2),"",G704)))</f>
        <v>12</v>
      </c>
      <c r="I704">
        <f ca="1">IF(OR(G704=-999,G704=-888,AND($AA$6="Excluded",G704&gt;=Settings!$G$2)),"",G704)</f>
        <v>12</v>
      </c>
      <c r="O704" s="46"/>
    </row>
    <row r="705" spans="1:15" x14ac:dyDescent="0.2">
      <c r="A705" s="1">
        <v>700</v>
      </c>
      <c r="B705" t="str">
        <f>IF(ISERROR(MATCH(TRIM('Data Table'!D702),Settings!$G$15:$G$20,0)),TRIM('Data Table'!D702),LOOKUP(TRIM('Data Table'!D702),Settings!$G$15:$G$20,Settings!$H$15:$H$20))</f>
        <v>Iredell</v>
      </c>
      <c r="C705" t="str">
        <f>IF('Data Table'!F702="","SS",IF('Data Table'!F702="SF","SD",TRIM('Data Table'!F702)))</f>
        <v>SD</v>
      </c>
      <c r="D705" s="106">
        <f ca="1">IF(ISBLANK(OFFSET('Data Table'!$A700,2,Settings!$G$5-1)),"",OFFSET('Data Table'!$A700,2,Settings!$G$5-1))</f>
        <v>6.2</v>
      </c>
      <c r="E705" s="106" t="str">
        <f ca="1">IF(ISBLANK(OFFSET('Data Table'!$A700,2,Settings!$G$5)),"",OFFSET('Data Table'!$A700,2,Settings!$G$5))</f>
        <v/>
      </c>
      <c r="F705" s="143" t="str">
        <f ca="1">IF(ISBLANK(OFFSET('Data Table'!$A700,2,Settings!$G$5+1)),"",OFFSET('Data Table'!$A700,2,Settings!$G$5+1))</f>
        <v/>
      </c>
      <c r="G705">
        <f t="shared" ca="1" si="10"/>
        <v>6.2</v>
      </c>
      <c r="H705">
        <f ca="1">IF(G705=-888,"",IF(G705=-999,Settings!$G$4,IF(AND($AA$6="Excluded",G705&gt;=Settings!$G$2),"",G705)))</f>
        <v>6.2</v>
      </c>
      <c r="I705">
        <f ca="1">IF(OR(G705=-999,G705=-888,AND($AA$6="Excluded",G705&gt;=Settings!$G$2)),"",G705)</f>
        <v>6.2</v>
      </c>
      <c r="O705" s="46"/>
    </row>
    <row r="706" spans="1:15" x14ac:dyDescent="0.2">
      <c r="A706" s="1">
        <v>701</v>
      </c>
      <c r="B706" t="str">
        <f>IF(ISERROR(MATCH(TRIM('Data Table'!D703),Settings!$G$15:$G$20,0)),TRIM('Data Table'!D703),LOOKUP(TRIM('Data Table'!D703),Settings!$G$15:$G$20,Settings!$H$15:$H$20))</f>
        <v>Durham</v>
      </c>
      <c r="C706" t="str">
        <f>IF('Data Table'!F703="","SS",IF('Data Table'!F703="SF","SD",TRIM('Data Table'!F703)))</f>
        <v>SD</v>
      </c>
      <c r="D706" s="106">
        <f ca="1">IF(ISBLANK(OFFSET('Data Table'!$A701,2,Settings!$G$5-1)),"",OFFSET('Data Table'!$A701,2,Settings!$G$5-1))</f>
        <v>27</v>
      </c>
      <c r="E706" s="106" t="str">
        <f ca="1">IF(ISBLANK(OFFSET('Data Table'!$A701,2,Settings!$G$5)),"",OFFSET('Data Table'!$A701,2,Settings!$G$5))</f>
        <v/>
      </c>
      <c r="F706" s="143" t="str">
        <f ca="1">IF(ISBLANK(OFFSET('Data Table'!$A701,2,Settings!$G$5+1)),"",OFFSET('Data Table'!$A701,2,Settings!$G$5+1))</f>
        <v/>
      </c>
      <c r="G706">
        <f t="shared" ca="1" si="10"/>
        <v>27</v>
      </c>
      <c r="H706">
        <f ca="1">IF(G706=-888,"",IF(G706=-999,Settings!$G$4,IF(AND($AA$6="Excluded",G706&gt;=Settings!$G$2),"",G706)))</f>
        <v>27</v>
      </c>
      <c r="I706">
        <f ca="1">IF(OR(G706=-999,G706=-888,AND($AA$6="Excluded",G706&gt;=Settings!$G$2)),"",G706)</f>
        <v>27</v>
      </c>
      <c r="O706" s="46"/>
    </row>
    <row r="707" spans="1:15" x14ac:dyDescent="0.2">
      <c r="A707" s="1">
        <v>702</v>
      </c>
      <c r="B707" t="str">
        <f>IF(ISERROR(MATCH(TRIM('Data Table'!D704),Settings!$G$15:$G$20,0)),TRIM('Data Table'!D704),LOOKUP(TRIM('Data Table'!D704),Settings!$G$15:$G$20,Settings!$H$15:$H$20))</f>
        <v>Durham</v>
      </c>
      <c r="C707" t="str">
        <f>IF('Data Table'!F704="","SS",IF('Data Table'!F704="SF","SD",TRIM('Data Table'!F704)))</f>
        <v>SD</v>
      </c>
      <c r="D707" s="106">
        <f ca="1">IF(ISBLANK(OFFSET('Data Table'!$A702,2,Settings!$G$5-1)),"",OFFSET('Data Table'!$A702,2,Settings!$G$5-1))</f>
        <v>21</v>
      </c>
      <c r="E707" s="106" t="str">
        <f ca="1">IF(ISBLANK(OFFSET('Data Table'!$A702,2,Settings!$G$5)),"",OFFSET('Data Table'!$A702,2,Settings!$G$5))</f>
        <v/>
      </c>
      <c r="F707" s="143" t="str">
        <f ca="1">IF(ISBLANK(OFFSET('Data Table'!$A702,2,Settings!$G$5+1)),"",OFFSET('Data Table'!$A702,2,Settings!$G$5+1))</f>
        <v/>
      </c>
      <c r="G707">
        <f t="shared" ca="1" si="10"/>
        <v>21</v>
      </c>
      <c r="H707">
        <f ca="1">IF(G707=-888,"",IF(G707=-999,Settings!$G$4,IF(AND($AA$6="Excluded",G707&gt;=Settings!$G$2),"",G707)))</f>
        <v>21</v>
      </c>
      <c r="I707">
        <f ca="1">IF(OR(G707=-999,G707=-888,AND($AA$6="Excluded",G707&gt;=Settings!$G$2)),"",G707)</f>
        <v>21</v>
      </c>
      <c r="O707" s="46"/>
    </row>
    <row r="708" spans="1:15" x14ac:dyDescent="0.2">
      <c r="A708" s="1">
        <v>703</v>
      </c>
      <c r="B708" t="str">
        <f>IF(ISERROR(MATCH(TRIM('Data Table'!D705),Settings!$G$15:$G$20,0)),TRIM('Data Table'!D705),LOOKUP(TRIM('Data Table'!D705),Settings!$G$15:$G$20,Settings!$H$15:$H$20))</f>
        <v>Durham</v>
      </c>
      <c r="C708" t="str">
        <f>IF('Data Table'!F705="","SS",IF('Data Table'!F705="SF","SD",TRIM('Data Table'!F705)))</f>
        <v>SD</v>
      </c>
      <c r="D708" s="106">
        <f ca="1">IF(ISBLANK(OFFSET('Data Table'!$A703,2,Settings!$G$5-1)),"",OFFSET('Data Table'!$A703,2,Settings!$G$5-1))</f>
        <v>11</v>
      </c>
      <c r="E708" s="106" t="str">
        <f ca="1">IF(ISBLANK(OFFSET('Data Table'!$A703,2,Settings!$G$5)),"",OFFSET('Data Table'!$A703,2,Settings!$G$5))</f>
        <v/>
      </c>
      <c r="F708" s="143" t="str">
        <f ca="1">IF(ISBLANK(OFFSET('Data Table'!$A703,2,Settings!$G$5+1)),"",OFFSET('Data Table'!$A703,2,Settings!$G$5+1))</f>
        <v/>
      </c>
      <c r="G708">
        <f t="shared" ca="1" si="10"/>
        <v>11</v>
      </c>
      <c r="H708">
        <f ca="1">IF(G708=-888,"",IF(G708=-999,Settings!$G$4,IF(AND($AA$6="Excluded",G708&gt;=Settings!$G$2),"",G708)))</f>
        <v>11</v>
      </c>
      <c r="I708">
        <f ca="1">IF(OR(G708=-999,G708=-888,AND($AA$6="Excluded",G708&gt;=Settings!$G$2)),"",G708)</f>
        <v>11</v>
      </c>
      <c r="O708" s="46"/>
    </row>
    <row r="709" spans="1:15" x14ac:dyDescent="0.2">
      <c r="A709" s="1">
        <v>704</v>
      </c>
      <c r="B709" t="str">
        <f>IF(ISERROR(MATCH(TRIM('Data Table'!D706),Settings!$G$15:$G$20,0)),TRIM('Data Table'!D706),LOOKUP(TRIM('Data Table'!D706),Settings!$G$15:$G$20,Settings!$H$15:$H$20))</f>
        <v>New Hanover</v>
      </c>
      <c r="C709" t="str">
        <f>IF('Data Table'!F706="","SS",IF('Data Table'!F706="SF","SD",TRIM('Data Table'!F706)))</f>
        <v>SS</v>
      </c>
      <c r="D709" s="106" t="str">
        <f ca="1">IF(ISBLANK(OFFSET('Data Table'!$A704,2,Settings!$G$5-1)),"",OFFSET('Data Table'!$A704,2,Settings!$G$5-1))</f>
        <v/>
      </c>
      <c r="E709" s="106">
        <f ca="1">IF(ISBLANK(OFFSET('Data Table'!$A704,2,Settings!$G$5)),"",OFFSET('Data Table'!$A704,2,Settings!$G$5))</f>
        <v>36</v>
      </c>
      <c r="F709" s="143" t="str">
        <f ca="1">IF(ISBLANK(OFFSET('Data Table'!$A704,2,Settings!$G$5+1)),"",OFFSET('Data Table'!$A704,2,Settings!$G$5+1))</f>
        <v/>
      </c>
      <c r="G709">
        <f t="shared" ca="1" si="10"/>
        <v>36</v>
      </c>
      <c r="H709">
        <f ca="1">IF(G709=-888,"",IF(G709=-999,Settings!$G$4,IF(AND($AA$6="Excluded",G709&gt;=Settings!$G$2),"",G709)))</f>
        <v>36</v>
      </c>
      <c r="I709">
        <f ca="1">IF(OR(G709=-999,G709=-888,AND($AA$6="Excluded",G709&gt;=Settings!$G$2)),"",G709)</f>
        <v>36</v>
      </c>
      <c r="O709" s="46"/>
    </row>
    <row r="710" spans="1:15" x14ac:dyDescent="0.2">
      <c r="A710" s="1">
        <v>705</v>
      </c>
      <c r="B710" t="str">
        <f>IF(ISERROR(MATCH(TRIM('Data Table'!D707),Settings!$G$15:$G$20,0)),TRIM('Data Table'!D707),LOOKUP(TRIM('Data Table'!D707),Settings!$G$15:$G$20,Settings!$H$15:$H$20))</f>
        <v>New Hanover</v>
      </c>
      <c r="C710" t="str">
        <f>IF('Data Table'!F707="","SS",IF('Data Table'!F707="SF","SD",TRIM('Data Table'!F707)))</f>
        <v>SS</v>
      </c>
      <c r="D710" s="106" t="str">
        <f ca="1">IF(ISBLANK(OFFSET('Data Table'!$A705,2,Settings!$G$5-1)),"",OFFSET('Data Table'!$A705,2,Settings!$G$5-1))</f>
        <v/>
      </c>
      <c r="E710" s="106">
        <f ca="1">IF(ISBLANK(OFFSET('Data Table'!$A705,2,Settings!$G$5)),"",OFFSET('Data Table'!$A705,2,Settings!$G$5))</f>
        <v>77.759999999999991</v>
      </c>
      <c r="F710" s="143" t="str">
        <f ca="1">IF(ISBLANK(OFFSET('Data Table'!$A705,2,Settings!$G$5+1)),"",OFFSET('Data Table'!$A705,2,Settings!$G$5+1))</f>
        <v/>
      </c>
      <c r="G710">
        <f t="shared" ref="G710:G773" ca="1" si="11">IF(COUNTIF(SOIL_DEPTH,C710)=0,"",IF(OR(D710="#",E710="#",F710="#"),-999,IF(AND(D710="",E710="",F710=""),-888,IF(COUNT(D710:F710)&gt;1,"ERROR",MAX(D710:F710)))))</f>
        <v>77.759999999999991</v>
      </c>
      <c r="H710">
        <f ca="1">IF(G710=-888,"",IF(G710=-999,Settings!$G$4,IF(AND($AA$6="Excluded",G710&gt;=Settings!$G$2),"",G710)))</f>
        <v>77.759999999999991</v>
      </c>
      <c r="I710">
        <f ca="1">IF(OR(G710=-999,G710=-888,AND($AA$6="Excluded",G710&gt;=Settings!$G$2)),"",G710)</f>
        <v>77.759999999999991</v>
      </c>
      <c r="O710" s="46"/>
    </row>
    <row r="711" spans="1:15" x14ac:dyDescent="0.2">
      <c r="A711" s="1">
        <v>706</v>
      </c>
      <c r="B711" t="str">
        <f>IF(ISERROR(MATCH(TRIM('Data Table'!D708),Settings!$G$15:$G$20,0)),TRIM('Data Table'!D708),LOOKUP(TRIM('Data Table'!D708),Settings!$G$15:$G$20,Settings!$H$15:$H$20))</f>
        <v>New Hanover</v>
      </c>
      <c r="C711" t="str">
        <f>IF('Data Table'!F708="","SS",IF('Data Table'!F708="SF","SD",TRIM('Data Table'!F708)))</f>
        <v>SS</v>
      </c>
      <c r="D711" s="106">
        <f ca="1">IF(ISBLANK(OFFSET('Data Table'!$A706,2,Settings!$G$5-1)),"",OFFSET('Data Table'!$A706,2,Settings!$G$5-1))</f>
        <v>100</v>
      </c>
      <c r="E711" s="106" t="str">
        <f ca="1">IF(ISBLANK(OFFSET('Data Table'!$A706,2,Settings!$G$5)),"",OFFSET('Data Table'!$A706,2,Settings!$G$5))</f>
        <v/>
      </c>
      <c r="F711" s="143" t="str">
        <f ca="1">IF(ISBLANK(OFFSET('Data Table'!$A706,2,Settings!$G$5+1)),"",OFFSET('Data Table'!$A706,2,Settings!$G$5+1))</f>
        <v/>
      </c>
      <c r="G711">
        <f t="shared" ca="1" si="11"/>
        <v>100</v>
      </c>
      <c r="H711">
        <f ca="1">IF(G711=-888,"",IF(G711=-999,Settings!$G$4,IF(AND($AA$6="Excluded",G711&gt;=Settings!$G$2),"",G711)))</f>
        <v>100</v>
      </c>
      <c r="I711">
        <f ca="1">IF(OR(G711=-999,G711=-888,AND($AA$6="Excluded",G711&gt;=Settings!$G$2)),"",G711)</f>
        <v>100</v>
      </c>
      <c r="O711" s="46"/>
    </row>
    <row r="712" spans="1:15" x14ac:dyDescent="0.2">
      <c r="A712" s="1">
        <v>707</v>
      </c>
      <c r="B712" t="str">
        <f>IF(ISERROR(MATCH(TRIM('Data Table'!D709),Settings!$G$15:$G$20,0)),TRIM('Data Table'!D709),LOOKUP(TRIM('Data Table'!D709),Settings!$G$15:$G$20,Settings!$H$15:$H$20))</f>
        <v>New Hanover</v>
      </c>
      <c r="C712" t="str">
        <f>IF('Data Table'!F709="","SS",IF('Data Table'!F709="SF","SD",TRIM('Data Table'!F709)))</f>
        <v>SB</v>
      </c>
      <c r="D712" s="106" t="str">
        <f ca="1">IF(ISBLANK(OFFSET('Data Table'!$A707,2,Settings!$G$5-1)),"",OFFSET('Data Table'!$A707,2,Settings!$G$5-1))</f>
        <v/>
      </c>
      <c r="E712" s="106">
        <f ca="1">IF(ISBLANK(OFFSET('Data Table'!$A707,2,Settings!$G$5)),"",OFFSET('Data Table'!$A707,2,Settings!$G$5))</f>
        <v>2.3039999999999998</v>
      </c>
      <c r="F712" s="143" t="str">
        <f ca="1">IF(ISBLANK(OFFSET('Data Table'!$A707,2,Settings!$G$5+1)),"",OFFSET('Data Table'!$A707,2,Settings!$G$5+1))</f>
        <v/>
      </c>
      <c r="G712">
        <f t="shared" ca="1" si="11"/>
        <v>2.3039999999999998</v>
      </c>
      <c r="H712">
        <f ca="1">IF(G712=-888,"",IF(G712=-999,Settings!$G$4,IF(AND($AA$6="Excluded",G712&gt;=Settings!$G$2),"",G712)))</f>
        <v>2.3039999999999998</v>
      </c>
      <c r="I712">
        <f ca="1">IF(OR(G712=-999,G712=-888,AND($AA$6="Excluded",G712&gt;=Settings!$G$2)),"",G712)</f>
        <v>2.3039999999999998</v>
      </c>
      <c r="O712" s="46"/>
    </row>
    <row r="713" spans="1:15" x14ac:dyDescent="0.2">
      <c r="A713" s="1">
        <v>708</v>
      </c>
      <c r="B713" t="str">
        <f>IF(ISERROR(MATCH(TRIM('Data Table'!D710),Settings!$G$15:$G$20,0)),TRIM('Data Table'!D710),LOOKUP(TRIM('Data Table'!D710),Settings!$G$15:$G$20,Settings!$H$15:$H$20))</f>
        <v>New Hanover</v>
      </c>
      <c r="C713" t="str">
        <f>IF('Data Table'!F710="","SS",IF('Data Table'!F710="SF","SD",TRIM('Data Table'!F710)))</f>
        <v>SB</v>
      </c>
      <c r="D713" s="106" t="str">
        <f ca="1">IF(ISBLANK(OFFSET('Data Table'!$A708,2,Settings!$G$5-1)),"",OFFSET('Data Table'!$A708,2,Settings!$G$5-1))</f>
        <v/>
      </c>
      <c r="E713" s="106">
        <f ca="1">IF(ISBLANK(OFFSET('Data Table'!$A708,2,Settings!$G$5)),"",OFFSET('Data Table'!$A708,2,Settings!$G$5))</f>
        <v>7.7759999999999998</v>
      </c>
      <c r="F713" s="143" t="str">
        <f ca="1">IF(ISBLANK(OFFSET('Data Table'!$A708,2,Settings!$G$5+1)),"",OFFSET('Data Table'!$A708,2,Settings!$G$5+1))</f>
        <v/>
      </c>
      <c r="G713">
        <f t="shared" ca="1" si="11"/>
        <v>7.7759999999999998</v>
      </c>
      <c r="H713">
        <f ca="1">IF(G713=-888,"",IF(G713=-999,Settings!$G$4,IF(AND($AA$6="Excluded",G713&gt;=Settings!$G$2),"",G713)))</f>
        <v>7.7759999999999998</v>
      </c>
      <c r="I713">
        <f ca="1">IF(OR(G713=-999,G713=-888,AND($AA$6="Excluded",G713&gt;=Settings!$G$2)),"",G713)</f>
        <v>7.7759999999999998</v>
      </c>
      <c r="O713" s="46"/>
    </row>
    <row r="714" spans="1:15" x14ac:dyDescent="0.2">
      <c r="A714" s="1">
        <v>709</v>
      </c>
      <c r="B714" t="str">
        <f>IF(ISERROR(MATCH(TRIM('Data Table'!D711),Settings!$G$15:$G$20,0)),TRIM('Data Table'!D711),LOOKUP(TRIM('Data Table'!D711),Settings!$G$15:$G$20,Settings!$H$15:$H$20))</f>
        <v>New Hanover</v>
      </c>
      <c r="C714" t="str">
        <f>IF('Data Table'!F711="","SS",IF('Data Table'!F711="SF","SD",TRIM('Data Table'!F711)))</f>
        <v>SB</v>
      </c>
      <c r="D714" s="106">
        <f ca="1">IF(ISBLANK(OFFSET('Data Table'!$A709,2,Settings!$G$5-1)),"",OFFSET('Data Table'!$A709,2,Settings!$G$5-1))</f>
        <v>15</v>
      </c>
      <c r="E714" s="106" t="str">
        <f ca="1">IF(ISBLANK(OFFSET('Data Table'!$A709,2,Settings!$G$5)),"",OFFSET('Data Table'!$A709,2,Settings!$G$5))</f>
        <v/>
      </c>
      <c r="F714" s="143" t="str">
        <f ca="1">IF(ISBLANK(OFFSET('Data Table'!$A709,2,Settings!$G$5+1)),"",OFFSET('Data Table'!$A709,2,Settings!$G$5+1))</f>
        <v/>
      </c>
      <c r="G714">
        <f t="shared" ca="1" si="11"/>
        <v>15</v>
      </c>
      <c r="H714">
        <f ca="1">IF(G714=-888,"",IF(G714=-999,Settings!$G$4,IF(AND($AA$6="Excluded",G714&gt;=Settings!$G$2),"",G714)))</f>
        <v>15</v>
      </c>
      <c r="I714">
        <f ca="1">IF(OR(G714=-999,G714=-888,AND($AA$6="Excluded",G714&gt;=Settings!$G$2)),"",G714)</f>
        <v>15</v>
      </c>
      <c r="O714" s="46"/>
    </row>
    <row r="715" spans="1:15" x14ac:dyDescent="0.2">
      <c r="A715" s="1">
        <v>710</v>
      </c>
      <c r="B715" t="str">
        <f>IF(ISERROR(MATCH(TRIM('Data Table'!D712),Settings!$G$15:$G$20,0)),TRIM('Data Table'!D712),LOOKUP(TRIM('Data Table'!D712),Settings!$G$15:$G$20,Settings!$H$15:$H$20))</f>
        <v>New Hanover</v>
      </c>
      <c r="C715" t="str">
        <f>IF('Data Table'!F712="","SS",IF('Data Table'!F712="SF","SD",TRIM('Data Table'!F712)))</f>
        <v>SD</v>
      </c>
      <c r="D715" s="106">
        <f ca="1">IF(ISBLANK(OFFSET('Data Table'!$A710,2,Settings!$G$5-1)),"",OFFSET('Data Table'!$A710,2,Settings!$G$5-1))</f>
        <v>6</v>
      </c>
      <c r="E715" s="106" t="str">
        <f ca="1">IF(ISBLANK(OFFSET('Data Table'!$A710,2,Settings!$G$5)),"",OFFSET('Data Table'!$A710,2,Settings!$G$5))</f>
        <v/>
      </c>
      <c r="F715" s="143" t="str">
        <f ca="1">IF(ISBLANK(OFFSET('Data Table'!$A710,2,Settings!$G$5+1)),"",OFFSET('Data Table'!$A710,2,Settings!$G$5+1))</f>
        <v/>
      </c>
      <c r="G715">
        <f t="shared" ca="1" si="11"/>
        <v>6</v>
      </c>
      <c r="H715">
        <f ca="1">IF(G715=-888,"",IF(G715=-999,Settings!$G$4,IF(AND($AA$6="Excluded",G715&gt;=Settings!$G$2),"",G715)))</f>
        <v>6</v>
      </c>
      <c r="I715">
        <f ca="1">IF(OR(G715=-999,G715=-888,AND($AA$6="Excluded",G715&gt;=Settings!$G$2)),"",G715)</f>
        <v>6</v>
      </c>
      <c r="O715" s="46"/>
    </row>
    <row r="716" spans="1:15" x14ac:dyDescent="0.2">
      <c r="A716" s="1">
        <v>711</v>
      </c>
      <c r="B716" t="str">
        <f>IF(ISERROR(MATCH(TRIM('Data Table'!D713),Settings!$G$15:$G$20,0)),TRIM('Data Table'!D713),LOOKUP(TRIM('Data Table'!D713),Settings!$G$15:$G$20,Settings!$H$15:$H$20))</f>
        <v>New Hanover</v>
      </c>
      <c r="C716" t="str">
        <f>IF('Data Table'!F713="","SS",IF('Data Table'!F713="SF","SD",TRIM('Data Table'!F713)))</f>
        <v>SD</v>
      </c>
      <c r="D716" s="106">
        <f ca="1">IF(ISBLANK(OFFSET('Data Table'!$A711,2,Settings!$G$5-1)),"",OFFSET('Data Table'!$A711,2,Settings!$G$5-1))</f>
        <v>14</v>
      </c>
      <c r="E716" s="106" t="str">
        <f ca="1">IF(ISBLANK(OFFSET('Data Table'!$A711,2,Settings!$G$5)),"",OFFSET('Data Table'!$A711,2,Settings!$G$5))</f>
        <v/>
      </c>
      <c r="F716" s="143" t="str">
        <f ca="1">IF(ISBLANK(OFFSET('Data Table'!$A711,2,Settings!$G$5+1)),"",OFFSET('Data Table'!$A711,2,Settings!$G$5+1))</f>
        <v/>
      </c>
      <c r="G716">
        <f t="shared" ca="1" si="11"/>
        <v>14</v>
      </c>
      <c r="H716">
        <f ca="1">IF(G716=-888,"",IF(G716=-999,Settings!$G$4,IF(AND($AA$6="Excluded",G716&gt;=Settings!$G$2),"",G716)))</f>
        <v>14</v>
      </c>
      <c r="I716">
        <f ca="1">IF(OR(G716=-999,G716=-888,AND($AA$6="Excluded",G716&gt;=Settings!$G$2)),"",G716)</f>
        <v>14</v>
      </c>
      <c r="O716" s="46"/>
    </row>
    <row r="717" spans="1:15" x14ac:dyDescent="0.2">
      <c r="A717" s="1">
        <v>712</v>
      </c>
      <c r="B717" t="str">
        <f>IF(ISERROR(MATCH(TRIM('Data Table'!D714),Settings!$G$15:$G$20,0)),TRIM('Data Table'!D714),LOOKUP(TRIM('Data Table'!D714),Settings!$G$15:$G$20,Settings!$H$15:$H$20))</f>
        <v>New Hanover</v>
      </c>
      <c r="C717" t="str">
        <f>IF('Data Table'!F714="","SS",IF('Data Table'!F714="SF","SD",TRIM('Data Table'!F714)))</f>
        <v>SD</v>
      </c>
      <c r="D717" s="106">
        <f ca="1">IF(ISBLANK(OFFSET('Data Table'!$A712,2,Settings!$G$5-1)),"",OFFSET('Data Table'!$A712,2,Settings!$G$5-1))</f>
        <v>290</v>
      </c>
      <c r="E717" s="106" t="str">
        <f ca="1">IF(ISBLANK(OFFSET('Data Table'!$A712,2,Settings!$G$5)),"",OFFSET('Data Table'!$A712,2,Settings!$G$5))</f>
        <v/>
      </c>
      <c r="F717" s="143" t="str">
        <f ca="1">IF(ISBLANK(OFFSET('Data Table'!$A712,2,Settings!$G$5+1)),"",OFFSET('Data Table'!$A712,2,Settings!$G$5+1))</f>
        <v/>
      </c>
      <c r="G717">
        <f t="shared" ca="1" si="11"/>
        <v>290</v>
      </c>
      <c r="H717">
        <f ca="1">IF(G717=-888,"",IF(G717=-999,Settings!$G$4,IF(AND($AA$6="Excluded",G717&gt;=Settings!$G$2),"",G717)))</f>
        <v>290</v>
      </c>
      <c r="I717">
        <f ca="1">IF(OR(G717=-999,G717=-888,AND($AA$6="Excluded",G717&gt;=Settings!$G$2)),"",G717)</f>
        <v>290</v>
      </c>
      <c r="O717" s="46"/>
    </row>
    <row r="718" spans="1:15" x14ac:dyDescent="0.2">
      <c r="A718" s="1">
        <v>713</v>
      </c>
      <c r="B718" t="str">
        <f>IF(ISERROR(MATCH(TRIM('Data Table'!D715),Settings!$G$15:$G$20,0)),TRIM('Data Table'!D715),LOOKUP(TRIM('Data Table'!D715),Settings!$G$15:$G$20,Settings!$H$15:$H$20))</f>
        <v>New Hanover</v>
      </c>
      <c r="C718" t="str">
        <f>IF('Data Table'!F715="","SS",IF('Data Table'!F715="SF","SD",TRIM('Data Table'!F715)))</f>
        <v>SD</v>
      </c>
      <c r="D718" s="106">
        <f ca="1">IF(ISBLANK(OFFSET('Data Table'!$A713,2,Settings!$G$5-1)),"",OFFSET('Data Table'!$A713,2,Settings!$G$5-1))</f>
        <v>61</v>
      </c>
      <c r="E718" s="106" t="str">
        <f ca="1">IF(ISBLANK(OFFSET('Data Table'!$A713,2,Settings!$G$5)),"",OFFSET('Data Table'!$A713,2,Settings!$G$5))</f>
        <v/>
      </c>
      <c r="F718" s="143" t="str">
        <f ca="1">IF(ISBLANK(OFFSET('Data Table'!$A713,2,Settings!$G$5+1)),"",OFFSET('Data Table'!$A713,2,Settings!$G$5+1))</f>
        <v/>
      </c>
      <c r="G718">
        <f t="shared" ca="1" si="11"/>
        <v>61</v>
      </c>
      <c r="H718">
        <f ca="1">IF(G718=-888,"",IF(G718=-999,Settings!$G$4,IF(AND($AA$6="Excluded",G718&gt;=Settings!$G$2),"",G718)))</f>
        <v>61</v>
      </c>
      <c r="I718">
        <f ca="1">IF(OR(G718=-999,G718=-888,AND($AA$6="Excluded",G718&gt;=Settings!$G$2)),"",G718)</f>
        <v>61</v>
      </c>
      <c r="O718" s="46"/>
    </row>
    <row r="719" spans="1:15" x14ac:dyDescent="0.2">
      <c r="A719" s="1">
        <v>714</v>
      </c>
      <c r="B719" t="str">
        <f>IF(ISERROR(MATCH(TRIM('Data Table'!D716),Settings!$G$15:$G$20,0)),TRIM('Data Table'!D716),LOOKUP(TRIM('Data Table'!D716),Settings!$G$15:$G$20,Settings!$H$15:$H$20))</f>
        <v>New Hanover</v>
      </c>
      <c r="C719" t="str">
        <f>IF('Data Table'!F716="","SS",IF('Data Table'!F716="SF","SD",TRIM('Data Table'!F716)))</f>
        <v>SD</v>
      </c>
      <c r="D719" s="106" t="str">
        <f ca="1">IF(ISBLANK(OFFSET('Data Table'!$A714,2,Settings!$G$5-1)),"",OFFSET('Data Table'!$A714,2,Settings!$G$5-1))</f>
        <v>#</v>
      </c>
      <c r="E719" s="106" t="str">
        <f ca="1">IF(ISBLANK(OFFSET('Data Table'!$A714,2,Settings!$G$5)),"",OFFSET('Data Table'!$A714,2,Settings!$G$5))</f>
        <v/>
      </c>
      <c r="F719" s="143" t="str">
        <f ca="1">IF(ISBLANK(OFFSET('Data Table'!$A714,2,Settings!$G$5+1)),"",OFFSET('Data Table'!$A714,2,Settings!$G$5+1))</f>
        <v/>
      </c>
      <c r="G719">
        <f t="shared" ca="1" si="11"/>
        <v>-999</v>
      </c>
      <c r="H719">
        <f ca="1">IF(G719=-888,"",IF(G719=-999,Settings!$G$4,IF(AND($AA$6="Excluded",G719&gt;=Settings!$G$2),"",G719)))</f>
        <v>5.0000000000000001E-3</v>
      </c>
      <c r="I719" t="str">
        <f ca="1">IF(OR(G719=-999,G719=-888,AND($AA$6="Excluded",G719&gt;=Settings!$G$2)),"",G719)</f>
        <v/>
      </c>
      <c r="O719" s="46"/>
    </row>
    <row r="720" spans="1:15" x14ac:dyDescent="0.2">
      <c r="A720" s="1">
        <v>715</v>
      </c>
      <c r="B720" t="str">
        <f>IF(ISERROR(MATCH(TRIM('Data Table'!D717),Settings!$G$15:$G$20,0)),TRIM('Data Table'!D717),LOOKUP(TRIM('Data Table'!D717),Settings!$G$15:$G$20,Settings!$H$15:$H$20))</f>
        <v>New Hanover</v>
      </c>
      <c r="C720" t="str">
        <f>IF('Data Table'!F717="","SS",IF('Data Table'!F717="SF","SD",TRIM('Data Table'!F717)))</f>
        <v>SD</v>
      </c>
      <c r="D720" s="106" t="str">
        <f ca="1">IF(ISBLANK(OFFSET('Data Table'!$A715,2,Settings!$G$5-1)),"",OFFSET('Data Table'!$A715,2,Settings!$G$5-1))</f>
        <v>#</v>
      </c>
      <c r="E720" s="106" t="str">
        <f ca="1">IF(ISBLANK(OFFSET('Data Table'!$A715,2,Settings!$G$5)),"",OFFSET('Data Table'!$A715,2,Settings!$G$5))</f>
        <v/>
      </c>
      <c r="F720" s="143" t="str">
        <f ca="1">IF(ISBLANK(OFFSET('Data Table'!$A715,2,Settings!$G$5+1)),"",OFFSET('Data Table'!$A715,2,Settings!$G$5+1))</f>
        <v/>
      </c>
      <c r="G720">
        <f t="shared" ca="1" si="11"/>
        <v>-999</v>
      </c>
      <c r="H720">
        <f ca="1">IF(G720=-888,"",IF(G720=-999,Settings!$G$4,IF(AND($AA$6="Excluded",G720&gt;=Settings!$G$2),"",G720)))</f>
        <v>5.0000000000000001E-3</v>
      </c>
      <c r="I720" t="str">
        <f ca="1">IF(OR(G720=-999,G720=-888,AND($AA$6="Excluded",G720&gt;=Settings!$G$2)),"",G720)</f>
        <v/>
      </c>
      <c r="O720" s="46"/>
    </row>
    <row r="721" spans="1:15" x14ac:dyDescent="0.2">
      <c r="A721" s="1">
        <v>716</v>
      </c>
      <c r="B721" t="str">
        <f>IF(ISERROR(MATCH(TRIM('Data Table'!D718),Settings!$G$15:$G$20,0)),TRIM('Data Table'!D718),LOOKUP(TRIM('Data Table'!D718),Settings!$G$15:$G$20,Settings!$H$15:$H$20))</f>
        <v>New Hanover</v>
      </c>
      <c r="C721" t="str">
        <f>IF('Data Table'!F718="","SS",IF('Data Table'!F718="SF","SD",TRIM('Data Table'!F718)))</f>
        <v>SD</v>
      </c>
      <c r="D721" s="106" t="str">
        <f ca="1">IF(ISBLANK(OFFSET('Data Table'!$A716,2,Settings!$G$5-1)),"",OFFSET('Data Table'!$A716,2,Settings!$G$5-1))</f>
        <v>#</v>
      </c>
      <c r="E721" s="106" t="str">
        <f ca="1">IF(ISBLANK(OFFSET('Data Table'!$A716,2,Settings!$G$5)),"",OFFSET('Data Table'!$A716,2,Settings!$G$5))</f>
        <v/>
      </c>
      <c r="F721" s="143" t="str">
        <f ca="1">IF(ISBLANK(OFFSET('Data Table'!$A716,2,Settings!$G$5+1)),"",OFFSET('Data Table'!$A716,2,Settings!$G$5+1))</f>
        <v/>
      </c>
      <c r="G721">
        <f t="shared" ca="1" si="11"/>
        <v>-999</v>
      </c>
      <c r="H721">
        <f ca="1">IF(G721=-888,"",IF(G721=-999,Settings!$G$4,IF(AND($AA$6="Excluded",G721&gt;=Settings!$G$2),"",G721)))</f>
        <v>5.0000000000000001E-3</v>
      </c>
      <c r="I721" t="str">
        <f ca="1">IF(OR(G721=-999,G721=-888,AND($AA$6="Excluded",G721&gt;=Settings!$G$2)),"",G721)</f>
        <v/>
      </c>
      <c r="O721" s="46"/>
    </row>
    <row r="722" spans="1:15" x14ac:dyDescent="0.2">
      <c r="A722" s="1">
        <v>717</v>
      </c>
      <c r="B722" t="str">
        <f>IF(ISERROR(MATCH(TRIM('Data Table'!D719),Settings!$G$15:$G$20,0)),TRIM('Data Table'!D719),LOOKUP(TRIM('Data Table'!D719),Settings!$G$15:$G$20,Settings!$H$15:$H$20))</f>
        <v>New Hanover</v>
      </c>
      <c r="C722" t="str">
        <f>IF('Data Table'!F719="","SS",IF('Data Table'!F719="SF","SD",TRIM('Data Table'!F719)))</f>
        <v>SD</v>
      </c>
      <c r="D722" s="106">
        <f ca="1">IF(ISBLANK(OFFSET('Data Table'!$A717,2,Settings!$G$5-1)),"",OFFSET('Data Table'!$A717,2,Settings!$G$5-1))</f>
        <v>160</v>
      </c>
      <c r="E722" s="106" t="str">
        <f ca="1">IF(ISBLANK(OFFSET('Data Table'!$A717,2,Settings!$G$5)),"",OFFSET('Data Table'!$A717,2,Settings!$G$5))</f>
        <v/>
      </c>
      <c r="F722" s="143" t="str">
        <f ca="1">IF(ISBLANK(OFFSET('Data Table'!$A717,2,Settings!$G$5+1)),"",OFFSET('Data Table'!$A717,2,Settings!$G$5+1))</f>
        <v/>
      </c>
      <c r="G722">
        <f t="shared" ca="1" si="11"/>
        <v>160</v>
      </c>
      <c r="H722">
        <f ca="1">IF(G722=-888,"",IF(G722=-999,Settings!$G$4,IF(AND($AA$6="Excluded",G722&gt;=Settings!$G$2),"",G722)))</f>
        <v>160</v>
      </c>
      <c r="I722">
        <f ca="1">IF(OR(G722=-999,G722=-888,AND($AA$6="Excluded",G722&gt;=Settings!$G$2)),"",G722)</f>
        <v>160</v>
      </c>
      <c r="O722" s="46"/>
    </row>
    <row r="723" spans="1:15" x14ac:dyDescent="0.2">
      <c r="A723" s="1">
        <v>718</v>
      </c>
      <c r="B723" t="str">
        <f>IF(ISERROR(MATCH(TRIM('Data Table'!D720),Settings!$G$15:$G$20,0)),TRIM('Data Table'!D720),LOOKUP(TRIM('Data Table'!D720),Settings!$G$15:$G$20,Settings!$H$15:$H$20))</f>
        <v>New Hanover</v>
      </c>
      <c r="C723" t="str">
        <f>IF('Data Table'!F720="","SS",IF('Data Table'!F720="SF","SD",TRIM('Data Table'!F720)))</f>
        <v>SD</v>
      </c>
      <c r="D723" s="106">
        <f ca="1">IF(ISBLANK(OFFSET('Data Table'!$A718,2,Settings!$G$5-1)),"",OFFSET('Data Table'!$A718,2,Settings!$G$5-1))</f>
        <v>130</v>
      </c>
      <c r="E723" s="106" t="str">
        <f ca="1">IF(ISBLANK(OFFSET('Data Table'!$A718,2,Settings!$G$5)),"",OFFSET('Data Table'!$A718,2,Settings!$G$5))</f>
        <v/>
      </c>
      <c r="F723" s="143" t="str">
        <f ca="1">IF(ISBLANK(OFFSET('Data Table'!$A718,2,Settings!$G$5+1)),"",OFFSET('Data Table'!$A718,2,Settings!$G$5+1))</f>
        <v/>
      </c>
      <c r="G723">
        <f t="shared" ca="1" si="11"/>
        <v>130</v>
      </c>
      <c r="H723">
        <f ca="1">IF(G723=-888,"",IF(G723=-999,Settings!$G$4,IF(AND($AA$6="Excluded",G723&gt;=Settings!$G$2),"",G723)))</f>
        <v>130</v>
      </c>
      <c r="I723">
        <f ca="1">IF(OR(G723=-999,G723=-888,AND($AA$6="Excluded",G723&gt;=Settings!$G$2)),"",G723)</f>
        <v>130</v>
      </c>
      <c r="O723" s="46"/>
    </row>
    <row r="724" spans="1:15" x14ac:dyDescent="0.2">
      <c r="A724" s="1">
        <v>719</v>
      </c>
      <c r="B724" t="str">
        <f>IF(ISERROR(MATCH(TRIM('Data Table'!D721),Settings!$G$15:$G$20,0)),TRIM('Data Table'!D721),LOOKUP(TRIM('Data Table'!D721),Settings!$G$15:$G$20,Settings!$H$15:$H$20))</f>
        <v>Mecklenburg</v>
      </c>
      <c r="C724" t="str">
        <f>IF('Data Table'!F721="","SS",IF('Data Table'!F721="SF","SD",TRIM('Data Table'!F721)))</f>
        <v>SS</v>
      </c>
      <c r="D724" s="106">
        <f ca="1">IF(ISBLANK(OFFSET('Data Table'!$A719,2,Settings!$G$5-1)),"",OFFSET('Data Table'!$A719,2,Settings!$G$5-1))</f>
        <v>11.4</v>
      </c>
      <c r="E724" s="106" t="str">
        <f ca="1">IF(ISBLANK(OFFSET('Data Table'!$A719,2,Settings!$G$5)),"",OFFSET('Data Table'!$A719,2,Settings!$G$5))</f>
        <v/>
      </c>
      <c r="F724" s="143" t="str">
        <f ca="1">IF(ISBLANK(OFFSET('Data Table'!$A719,2,Settings!$G$5+1)),"",OFFSET('Data Table'!$A719,2,Settings!$G$5+1))</f>
        <v/>
      </c>
      <c r="G724">
        <f t="shared" ca="1" si="11"/>
        <v>11.4</v>
      </c>
      <c r="H724">
        <f ca="1">IF(G724=-888,"",IF(G724=-999,Settings!$G$4,IF(AND($AA$6="Excluded",G724&gt;=Settings!$G$2),"",G724)))</f>
        <v>11.4</v>
      </c>
      <c r="I724">
        <f ca="1">IF(OR(G724=-999,G724=-888,AND($AA$6="Excluded",G724&gt;=Settings!$G$2)),"",G724)</f>
        <v>11.4</v>
      </c>
      <c r="O724" s="46"/>
    </row>
    <row r="725" spans="1:15" x14ac:dyDescent="0.2">
      <c r="A725" s="1">
        <v>720</v>
      </c>
      <c r="B725" t="str">
        <f>IF(ISERROR(MATCH(TRIM('Data Table'!D722),Settings!$G$15:$G$20,0)),TRIM('Data Table'!D722),LOOKUP(TRIM('Data Table'!D722),Settings!$G$15:$G$20,Settings!$H$15:$H$20))</f>
        <v>Mecklenburg</v>
      </c>
      <c r="C725" t="str">
        <f>IF('Data Table'!F722="","SS",IF('Data Table'!F722="SF","SD",TRIM('Data Table'!F722)))</f>
        <v>SS</v>
      </c>
      <c r="D725" s="106" t="str">
        <f ca="1">IF(ISBLANK(OFFSET('Data Table'!$A720,2,Settings!$G$5-1)),"",OFFSET('Data Table'!$A720,2,Settings!$G$5-1))</f>
        <v/>
      </c>
      <c r="E725" s="106" t="str">
        <f ca="1">IF(ISBLANK(OFFSET('Data Table'!$A720,2,Settings!$G$5)),"",OFFSET('Data Table'!$A720,2,Settings!$G$5))</f>
        <v/>
      </c>
      <c r="F725" s="143">
        <f ca="1">IF(ISBLANK(OFFSET('Data Table'!$A720,2,Settings!$G$5+1)),"",OFFSET('Data Table'!$A720,2,Settings!$G$5+1))</f>
        <v>20</v>
      </c>
      <c r="G725">
        <f t="shared" ca="1" si="11"/>
        <v>20</v>
      </c>
      <c r="H725">
        <f ca="1">IF(G725=-888,"",IF(G725=-999,Settings!$G$4,IF(AND($AA$6="Excluded",G725&gt;=Settings!$G$2),"",G725)))</f>
        <v>20</v>
      </c>
      <c r="I725">
        <f ca="1">IF(OR(G725=-999,G725=-888,AND($AA$6="Excluded",G725&gt;=Settings!$G$2)),"",G725)</f>
        <v>20</v>
      </c>
      <c r="O725" s="46"/>
    </row>
    <row r="726" spans="1:15" x14ac:dyDescent="0.2">
      <c r="A726" s="1">
        <v>721</v>
      </c>
      <c r="B726" t="str">
        <f>IF(ISERROR(MATCH(TRIM('Data Table'!D723),Settings!$G$15:$G$20,0)),TRIM('Data Table'!D723),LOOKUP(TRIM('Data Table'!D723),Settings!$G$15:$G$20,Settings!$H$15:$H$20))</f>
        <v>Mecklenburg</v>
      </c>
      <c r="C726" t="str">
        <f>IF('Data Table'!F723="","SS",IF('Data Table'!F723="SF","SD",TRIM('Data Table'!F723)))</f>
        <v>SS</v>
      </c>
      <c r="D726" s="106" t="str">
        <f ca="1">IF(ISBLANK(OFFSET('Data Table'!$A721,2,Settings!$G$5-1)),"",OFFSET('Data Table'!$A721,2,Settings!$G$5-1))</f>
        <v/>
      </c>
      <c r="E726" s="106" t="str">
        <f ca="1">IF(ISBLANK(OFFSET('Data Table'!$A721,2,Settings!$G$5)),"",OFFSET('Data Table'!$A721,2,Settings!$G$5))</f>
        <v/>
      </c>
      <c r="F726" s="143">
        <f ca="1">IF(ISBLANK(OFFSET('Data Table'!$A721,2,Settings!$G$5+1)),"",OFFSET('Data Table'!$A721,2,Settings!$G$5+1))</f>
        <v>20</v>
      </c>
      <c r="G726">
        <f t="shared" ca="1" si="11"/>
        <v>20</v>
      </c>
      <c r="H726">
        <f ca="1">IF(G726=-888,"",IF(G726=-999,Settings!$G$4,IF(AND($AA$6="Excluded",G726&gt;=Settings!$G$2),"",G726)))</f>
        <v>20</v>
      </c>
      <c r="I726">
        <f ca="1">IF(OR(G726=-999,G726=-888,AND($AA$6="Excluded",G726&gt;=Settings!$G$2)),"",G726)</f>
        <v>20</v>
      </c>
      <c r="O726" s="46"/>
    </row>
    <row r="727" spans="1:15" x14ac:dyDescent="0.2">
      <c r="A727" s="1">
        <v>722</v>
      </c>
      <c r="B727" t="str">
        <f>IF(ISERROR(MATCH(TRIM('Data Table'!D724),Settings!$G$15:$G$20,0)),TRIM('Data Table'!D724),LOOKUP(TRIM('Data Table'!D724),Settings!$G$15:$G$20,Settings!$H$15:$H$20))</f>
        <v>Mecklenburg</v>
      </c>
      <c r="C727" t="str">
        <f>IF('Data Table'!F724="","SS",IF('Data Table'!F724="SF","SD",TRIM('Data Table'!F724)))</f>
        <v>SD</v>
      </c>
      <c r="D727" s="106" t="str">
        <f ca="1">IF(ISBLANK(OFFSET('Data Table'!$A722,2,Settings!$G$5-1)),"",OFFSET('Data Table'!$A722,2,Settings!$G$5-1))</f>
        <v/>
      </c>
      <c r="E727" s="106" t="str">
        <f ca="1">IF(ISBLANK(OFFSET('Data Table'!$A722,2,Settings!$G$5)),"",OFFSET('Data Table'!$A722,2,Settings!$G$5))</f>
        <v/>
      </c>
      <c r="F727" s="143">
        <f ca="1">IF(ISBLANK(OFFSET('Data Table'!$A722,2,Settings!$G$5+1)),"",OFFSET('Data Table'!$A722,2,Settings!$G$5+1))</f>
        <v>20</v>
      </c>
      <c r="G727">
        <f t="shared" ca="1" si="11"/>
        <v>20</v>
      </c>
      <c r="H727">
        <f ca="1">IF(G727=-888,"",IF(G727=-999,Settings!$G$4,IF(AND($AA$6="Excluded",G727&gt;=Settings!$G$2),"",G727)))</f>
        <v>20</v>
      </c>
      <c r="I727">
        <f ca="1">IF(OR(G727=-999,G727=-888,AND($AA$6="Excluded",G727&gt;=Settings!$G$2)),"",G727)</f>
        <v>20</v>
      </c>
      <c r="O727" s="46"/>
    </row>
    <row r="728" spans="1:15" x14ac:dyDescent="0.2">
      <c r="A728" s="1">
        <v>723</v>
      </c>
      <c r="B728" t="str">
        <f>IF(ISERROR(MATCH(TRIM('Data Table'!D725),Settings!$G$15:$G$20,0)),TRIM('Data Table'!D725),LOOKUP(TRIM('Data Table'!D725),Settings!$G$15:$G$20,Settings!$H$15:$H$20))</f>
        <v>Pasquotank</v>
      </c>
      <c r="C728" t="str">
        <f>IF('Data Table'!F725="","SS",IF('Data Table'!F725="SF","SD",TRIM('Data Table'!F725)))</f>
        <v>SS</v>
      </c>
      <c r="D728" s="106">
        <f ca="1">IF(ISBLANK(OFFSET('Data Table'!$A723,2,Settings!$G$5-1)),"",OFFSET('Data Table'!$A723,2,Settings!$G$5-1))</f>
        <v>30.9</v>
      </c>
      <c r="E728" s="106" t="str">
        <f ca="1">IF(ISBLANK(OFFSET('Data Table'!$A723,2,Settings!$G$5)),"",OFFSET('Data Table'!$A723,2,Settings!$G$5))</f>
        <v/>
      </c>
      <c r="F728" s="143" t="str">
        <f ca="1">IF(ISBLANK(OFFSET('Data Table'!$A723,2,Settings!$G$5+1)),"",OFFSET('Data Table'!$A723,2,Settings!$G$5+1))</f>
        <v/>
      </c>
      <c r="G728">
        <f t="shared" ca="1" si="11"/>
        <v>30.9</v>
      </c>
      <c r="H728">
        <f ca="1">IF(G728=-888,"",IF(G728=-999,Settings!$G$4,IF(AND($AA$6="Excluded",G728&gt;=Settings!$G$2),"",G728)))</f>
        <v>30.9</v>
      </c>
      <c r="I728">
        <f ca="1">IF(OR(G728=-999,G728=-888,AND($AA$6="Excluded",G728&gt;=Settings!$G$2)),"",G728)</f>
        <v>30.9</v>
      </c>
      <c r="O728" s="46"/>
    </row>
    <row r="729" spans="1:15" x14ac:dyDescent="0.2">
      <c r="A729" s="1">
        <v>724</v>
      </c>
      <c r="B729" t="str">
        <f>IF(ISERROR(MATCH(TRIM('Data Table'!D726),Settings!$G$15:$G$20,0)),TRIM('Data Table'!D726),LOOKUP(TRIM('Data Table'!D726),Settings!$G$15:$G$20,Settings!$H$15:$H$20))</f>
        <v>Brunswick</v>
      </c>
      <c r="C729" t="str">
        <f>IF('Data Table'!F726="","SS",IF('Data Table'!F726="SF","SD",TRIM('Data Table'!F726)))</f>
        <v>SB</v>
      </c>
      <c r="D729" s="106">
        <f ca="1">IF(ISBLANK(OFFSET('Data Table'!$A724,2,Settings!$G$5-1)),"",OFFSET('Data Table'!$A724,2,Settings!$G$5-1))</f>
        <v>1.56</v>
      </c>
      <c r="E729" s="106" t="str">
        <f ca="1">IF(ISBLANK(OFFSET('Data Table'!$A724,2,Settings!$G$5)),"",OFFSET('Data Table'!$A724,2,Settings!$G$5))</f>
        <v/>
      </c>
      <c r="F729" s="143" t="str">
        <f ca="1">IF(ISBLANK(OFFSET('Data Table'!$A724,2,Settings!$G$5+1)),"",OFFSET('Data Table'!$A724,2,Settings!$G$5+1))</f>
        <v/>
      </c>
      <c r="G729">
        <f t="shared" ca="1" si="11"/>
        <v>1.56</v>
      </c>
      <c r="H729">
        <f ca="1">IF(G729=-888,"",IF(G729=-999,Settings!$G$4,IF(AND($AA$6="Excluded",G729&gt;=Settings!$G$2),"",G729)))</f>
        <v>1.56</v>
      </c>
      <c r="I729">
        <f ca="1">IF(OR(G729=-999,G729=-888,AND($AA$6="Excluded",G729&gt;=Settings!$G$2)),"",G729)</f>
        <v>1.56</v>
      </c>
      <c r="O729" s="46"/>
    </row>
    <row r="730" spans="1:15" x14ac:dyDescent="0.2">
      <c r="A730" s="1">
        <v>725</v>
      </c>
      <c r="B730" t="str">
        <f>IF(ISERROR(MATCH(TRIM('Data Table'!D727),Settings!$G$15:$G$20,0)),TRIM('Data Table'!D727),LOOKUP(TRIM('Data Table'!D727),Settings!$G$15:$G$20,Settings!$H$15:$H$20))</f>
        <v>Brunswick</v>
      </c>
      <c r="C730" t="str">
        <f>IF('Data Table'!F727="","SS",IF('Data Table'!F727="SF","SD",TRIM('Data Table'!F727)))</f>
        <v>SB</v>
      </c>
      <c r="D730" s="106">
        <f ca="1">IF(ISBLANK(OFFSET('Data Table'!$A725,2,Settings!$G$5-1)),"",OFFSET('Data Table'!$A725,2,Settings!$G$5-1))</f>
        <v>3.36</v>
      </c>
      <c r="E730" s="106" t="str">
        <f ca="1">IF(ISBLANK(OFFSET('Data Table'!$A725,2,Settings!$G$5)),"",OFFSET('Data Table'!$A725,2,Settings!$G$5))</f>
        <v/>
      </c>
      <c r="F730" s="143" t="str">
        <f ca="1">IF(ISBLANK(OFFSET('Data Table'!$A725,2,Settings!$G$5+1)),"",OFFSET('Data Table'!$A725,2,Settings!$G$5+1))</f>
        <v/>
      </c>
      <c r="G730">
        <f t="shared" ca="1" si="11"/>
        <v>3.36</v>
      </c>
      <c r="H730">
        <f ca="1">IF(G730=-888,"",IF(G730=-999,Settings!$G$4,IF(AND($AA$6="Excluded",G730&gt;=Settings!$G$2),"",G730)))</f>
        <v>3.36</v>
      </c>
      <c r="I730">
        <f ca="1">IF(OR(G730=-999,G730=-888,AND($AA$6="Excluded",G730&gt;=Settings!$G$2)),"",G730)</f>
        <v>3.36</v>
      </c>
      <c r="O730" s="46"/>
    </row>
    <row r="731" spans="1:15" x14ac:dyDescent="0.2">
      <c r="A731" s="1">
        <v>726</v>
      </c>
      <c r="B731" t="str">
        <f>IF(ISERROR(MATCH(TRIM('Data Table'!D728),Settings!$G$15:$G$20,0)),TRIM('Data Table'!D728),LOOKUP(TRIM('Data Table'!D728),Settings!$G$15:$G$20,Settings!$H$15:$H$20))</f>
        <v>Brunswick</v>
      </c>
      <c r="C731" t="str">
        <f>IF('Data Table'!F728="","SS",IF('Data Table'!F728="SF","SD",TRIM('Data Table'!F728)))</f>
        <v>SB</v>
      </c>
      <c r="D731" s="106" t="str">
        <f ca="1">IF(ISBLANK(OFFSET('Data Table'!$A726,2,Settings!$G$5-1)),"",OFFSET('Data Table'!$A726,2,Settings!$G$5-1))</f>
        <v>#</v>
      </c>
      <c r="E731" s="106" t="str">
        <f ca="1">IF(ISBLANK(OFFSET('Data Table'!$A726,2,Settings!$G$5)),"",OFFSET('Data Table'!$A726,2,Settings!$G$5))</f>
        <v/>
      </c>
      <c r="F731" s="143" t="str">
        <f ca="1">IF(ISBLANK(OFFSET('Data Table'!$A726,2,Settings!$G$5+1)),"",OFFSET('Data Table'!$A726,2,Settings!$G$5+1))</f>
        <v/>
      </c>
      <c r="G731">
        <f t="shared" ca="1" si="11"/>
        <v>-999</v>
      </c>
      <c r="H731">
        <f ca="1">IF(G731=-888,"",IF(G731=-999,Settings!$G$4,IF(AND($AA$6="Excluded",G731&gt;=Settings!$G$2),"",G731)))</f>
        <v>5.0000000000000001E-3</v>
      </c>
      <c r="I731" t="str">
        <f ca="1">IF(OR(G731=-999,G731=-888,AND($AA$6="Excluded",G731&gt;=Settings!$G$2)),"",G731)</f>
        <v/>
      </c>
      <c r="O731" s="46"/>
    </row>
    <row r="732" spans="1:15" x14ac:dyDescent="0.2">
      <c r="A732" s="1">
        <v>727</v>
      </c>
      <c r="B732" t="str">
        <f>IF(ISERROR(MATCH(TRIM('Data Table'!D729),Settings!$G$15:$G$20,0)),TRIM('Data Table'!D729),LOOKUP(TRIM('Data Table'!D729),Settings!$G$15:$G$20,Settings!$H$15:$H$20))</f>
        <v>Brunswick</v>
      </c>
      <c r="C732" t="str">
        <f>IF('Data Table'!F729="","SS",IF('Data Table'!F729="SF","SD",TRIM('Data Table'!F729)))</f>
        <v>SD</v>
      </c>
      <c r="D732" s="106" t="str">
        <f ca="1">IF(ISBLANK(OFFSET('Data Table'!$A727,2,Settings!$G$5-1)),"",OFFSET('Data Table'!$A727,2,Settings!$G$5-1))</f>
        <v>#</v>
      </c>
      <c r="E732" s="106" t="str">
        <f ca="1">IF(ISBLANK(OFFSET('Data Table'!$A727,2,Settings!$G$5)),"",OFFSET('Data Table'!$A727,2,Settings!$G$5))</f>
        <v/>
      </c>
      <c r="F732" s="143" t="str">
        <f ca="1">IF(ISBLANK(OFFSET('Data Table'!$A727,2,Settings!$G$5+1)),"",OFFSET('Data Table'!$A727,2,Settings!$G$5+1))</f>
        <v/>
      </c>
      <c r="G732">
        <f t="shared" ca="1" si="11"/>
        <v>-999</v>
      </c>
      <c r="H732">
        <f ca="1">IF(G732=-888,"",IF(G732=-999,Settings!$G$4,IF(AND($AA$6="Excluded",G732&gt;=Settings!$G$2),"",G732)))</f>
        <v>5.0000000000000001E-3</v>
      </c>
      <c r="I732" t="str">
        <f ca="1">IF(OR(G732=-999,G732=-888,AND($AA$6="Excluded",G732&gt;=Settings!$G$2)),"",G732)</f>
        <v/>
      </c>
      <c r="O732" s="46"/>
    </row>
    <row r="733" spans="1:15" x14ac:dyDescent="0.2">
      <c r="A733" s="1">
        <v>728</v>
      </c>
      <c r="B733" t="str">
        <f>IF(ISERROR(MATCH(TRIM('Data Table'!D730),Settings!$G$15:$G$20,0)),TRIM('Data Table'!D730),LOOKUP(TRIM('Data Table'!D730),Settings!$G$15:$G$20,Settings!$H$15:$H$20))</f>
        <v>Durham</v>
      </c>
      <c r="C733" t="str">
        <f>IF('Data Table'!F730="","SS",IF('Data Table'!F730="SF","SD",TRIM('Data Table'!F730)))</f>
        <v>SS</v>
      </c>
      <c r="D733" s="106">
        <f ca="1">IF(ISBLANK(OFFSET('Data Table'!$A728,2,Settings!$G$5-1)),"",OFFSET('Data Table'!$A728,2,Settings!$G$5-1))</f>
        <v>9.6</v>
      </c>
      <c r="E733" s="106" t="str">
        <f ca="1">IF(ISBLANK(OFFSET('Data Table'!$A728,2,Settings!$G$5)),"",OFFSET('Data Table'!$A728,2,Settings!$G$5))</f>
        <v/>
      </c>
      <c r="F733" s="143" t="str">
        <f ca="1">IF(ISBLANK(OFFSET('Data Table'!$A728,2,Settings!$G$5+1)),"",OFFSET('Data Table'!$A728,2,Settings!$G$5+1))</f>
        <v/>
      </c>
      <c r="G733">
        <f t="shared" ca="1" si="11"/>
        <v>9.6</v>
      </c>
      <c r="H733">
        <f ca="1">IF(G733=-888,"",IF(G733=-999,Settings!$G$4,IF(AND($AA$6="Excluded",G733&gt;=Settings!$G$2),"",G733)))</f>
        <v>9.6</v>
      </c>
      <c r="I733">
        <f ca="1">IF(OR(G733=-999,G733=-888,AND($AA$6="Excluded",G733&gt;=Settings!$G$2)),"",G733)</f>
        <v>9.6</v>
      </c>
      <c r="O733" s="46"/>
    </row>
    <row r="734" spans="1:15" x14ac:dyDescent="0.2">
      <c r="A734" s="1">
        <v>729</v>
      </c>
      <c r="B734" t="str">
        <f>IF(ISERROR(MATCH(TRIM('Data Table'!D731),Settings!$G$15:$G$20,0)),TRIM('Data Table'!D731),LOOKUP(TRIM('Data Table'!D731),Settings!$G$15:$G$20,Settings!$H$15:$H$20))</f>
        <v>Durham</v>
      </c>
      <c r="C734" t="str">
        <f>IF('Data Table'!F731="","SS",IF('Data Table'!F731="SF","SD",TRIM('Data Table'!F731)))</f>
        <v>SB</v>
      </c>
      <c r="D734" s="106">
        <f ca="1">IF(ISBLANK(OFFSET('Data Table'!$A729,2,Settings!$G$5-1)),"",OFFSET('Data Table'!$A729,2,Settings!$G$5-1))</f>
        <v>15.8</v>
      </c>
      <c r="E734" s="106" t="str">
        <f ca="1">IF(ISBLANK(OFFSET('Data Table'!$A729,2,Settings!$G$5)),"",OFFSET('Data Table'!$A729,2,Settings!$G$5))</f>
        <v/>
      </c>
      <c r="F734" s="143" t="str">
        <f ca="1">IF(ISBLANK(OFFSET('Data Table'!$A729,2,Settings!$G$5+1)),"",OFFSET('Data Table'!$A729,2,Settings!$G$5+1))</f>
        <v/>
      </c>
      <c r="G734">
        <f t="shared" ca="1" si="11"/>
        <v>15.8</v>
      </c>
      <c r="H734">
        <f ca="1">IF(G734=-888,"",IF(G734=-999,Settings!$G$4,IF(AND($AA$6="Excluded",G734&gt;=Settings!$G$2),"",G734)))</f>
        <v>15.8</v>
      </c>
      <c r="I734">
        <f ca="1">IF(OR(G734=-999,G734=-888,AND($AA$6="Excluded",G734&gt;=Settings!$G$2)),"",G734)</f>
        <v>15.8</v>
      </c>
      <c r="O734" s="46"/>
    </row>
    <row r="735" spans="1:15" x14ac:dyDescent="0.2">
      <c r="A735" s="1">
        <v>730</v>
      </c>
      <c r="B735" t="str">
        <f>IF(ISERROR(MATCH(TRIM('Data Table'!D732),Settings!$G$15:$G$20,0)),TRIM('Data Table'!D732),LOOKUP(TRIM('Data Table'!D732),Settings!$G$15:$G$20,Settings!$H$15:$H$20))</f>
        <v>Durham</v>
      </c>
      <c r="C735" t="str">
        <f>IF('Data Table'!F732="","SS",IF('Data Table'!F732="SF","SD",TRIM('Data Table'!F732)))</f>
        <v>SS</v>
      </c>
      <c r="D735" s="106">
        <f ca="1">IF(ISBLANK(OFFSET('Data Table'!$A730,2,Settings!$G$5-1)),"",OFFSET('Data Table'!$A730,2,Settings!$G$5-1))</f>
        <v>9.1</v>
      </c>
      <c r="E735" s="106" t="str">
        <f ca="1">IF(ISBLANK(OFFSET('Data Table'!$A730,2,Settings!$G$5)),"",OFFSET('Data Table'!$A730,2,Settings!$G$5))</f>
        <v/>
      </c>
      <c r="F735" s="143" t="str">
        <f ca="1">IF(ISBLANK(OFFSET('Data Table'!$A730,2,Settings!$G$5+1)),"",OFFSET('Data Table'!$A730,2,Settings!$G$5+1))</f>
        <v/>
      </c>
      <c r="G735">
        <f t="shared" ca="1" si="11"/>
        <v>9.1</v>
      </c>
      <c r="H735">
        <f ca="1">IF(G735=-888,"",IF(G735=-999,Settings!$G$4,IF(AND($AA$6="Excluded",G735&gt;=Settings!$G$2),"",G735)))</f>
        <v>9.1</v>
      </c>
      <c r="I735">
        <f ca="1">IF(OR(G735=-999,G735=-888,AND($AA$6="Excluded",G735&gt;=Settings!$G$2)),"",G735)</f>
        <v>9.1</v>
      </c>
      <c r="O735" s="46"/>
    </row>
    <row r="736" spans="1:15" x14ac:dyDescent="0.2">
      <c r="A736" s="1">
        <v>731</v>
      </c>
      <c r="B736" t="str">
        <f>IF(ISERROR(MATCH(TRIM('Data Table'!D733),Settings!$G$15:$G$20,0)),TRIM('Data Table'!D733),LOOKUP(TRIM('Data Table'!D733),Settings!$G$15:$G$20,Settings!$H$15:$H$20))</f>
        <v>Durham</v>
      </c>
      <c r="C736" t="str">
        <f>IF('Data Table'!F733="","SS",IF('Data Table'!F733="SF","SD",TRIM('Data Table'!F733)))</f>
        <v>SB</v>
      </c>
      <c r="D736" s="106">
        <f ca="1">IF(ISBLANK(OFFSET('Data Table'!$A731,2,Settings!$G$5-1)),"",OFFSET('Data Table'!$A731,2,Settings!$G$5-1))</f>
        <v>8.3000000000000007</v>
      </c>
      <c r="E736" s="106" t="str">
        <f ca="1">IF(ISBLANK(OFFSET('Data Table'!$A731,2,Settings!$G$5)),"",OFFSET('Data Table'!$A731,2,Settings!$G$5))</f>
        <v/>
      </c>
      <c r="F736" s="143" t="str">
        <f ca="1">IF(ISBLANK(OFFSET('Data Table'!$A731,2,Settings!$G$5+1)),"",OFFSET('Data Table'!$A731,2,Settings!$G$5+1))</f>
        <v/>
      </c>
      <c r="G736">
        <f t="shared" ca="1" si="11"/>
        <v>8.3000000000000007</v>
      </c>
      <c r="H736">
        <f ca="1">IF(G736=-888,"",IF(G736=-999,Settings!$G$4,IF(AND($AA$6="Excluded",G736&gt;=Settings!$G$2),"",G736)))</f>
        <v>8.3000000000000007</v>
      </c>
      <c r="I736">
        <f ca="1">IF(OR(G736=-999,G736=-888,AND($AA$6="Excluded",G736&gt;=Settings!$G$2)),"",G736)</f>
        <v>8.3000000000000007</v>
      </c>
      <c r="O736" s="46"/>
    </row>
    <row r="737" spans="1:15" x14ac:dyDescent="0.2">
      <c r="A737" s="1">
        <v>732</v>
      </c>
      <c r="B737" t="str">
        <f>IF(ISERROR(MATCH(TRIM('Data Table'!D734),Settings!$G$15:$G$20,0)),TRIM('Data Table'!D734),LOOKUP(TRIM('Data Table'!D734),Settings!$G$15:$G$20,Settings!$H$15:$H$20))</f>
        <v>Durham</v>
      </c>
      <c r="C737" t="str">
        <f>IF('Data Table'!F734="","SS",IF('Data Table'!F734="SF","SD",TRIM('Data Table'!F734)))</f>
        <v>SS</v>
      </c>
      <c r="D737" s="106">
        <f ca="1">IF(ISBLANK(OFFSET('Data Table'!$A732,2,Settings!$G$5-1)),"",OFFSET('Data Table'!$A732,2,Settings!$G$5-1))</f>
        <v>10.7</v>
      </c>
      <c r="E737" s="106" t="str">
        <f ca="1">IF(ISBLANK(OFFSET('Data Table'!$A732,2,Settings!$G$5)),"",OFFSET('Data Table'!$A732,2,Settings!$G$5))</f>
        <v/>
      </c>
      <c r="F737" s="143" t="str">
        <f ca="1">IF(ISBLANK(OFFSET('Data Table'!$A732,2,Settings!$G$5+1)),"",OFFSET('Data Table'!$A732,2,Settings!$G$5+1))</f>
        <v/>
      </c>
      <c r="G737">
        <f t="shared" ca="1" si="11"/>
        <v>10.7</v>
      </c>
      <c r="H737">
        <f ca="1">IF(G737=-888,"",IF(G737=-999,Settings!$G$4,IF(AND($AA$6="Excluded",G737&gt;=Settings!$G$2),"",G737)))</f>
        <v>10.7</v>
      </c>
      <c r="I737">
        <f ca="1">IF(OR(G737=-999,G737=-888,AND($AA$6="Excluded",G737&gt;=Settings!$G$2)),"",G737)</f>
        <v>10.7</v>
      </c>
      <c r="O737" s="46"/>
    </row>
    <row r="738" spans="1:15" x14ac:dyDescent="0.2">
      <c r="A738" s="1">
        <v>733</v>
      </c>
      <c r="B738" t="str">
        <f>IF(ISERROR(MATCH(TRIM('Data Table'!D735),Settings!$G$15:$G$20,0)),TRIM('Data Table'!D735),LOOKUP(TRIM('Data Table'!D735),Settings!$G$15:$G$20,Settings!$H$15:$H$20))</f>
        <v>Durham</v>
      </c>
      <c r="C738" t="str">
        <f>IF('Data Table'!F735="","SS",IF('Data Table'!F735="SF","SD",TRIM('Data Table'!F735)))</f>
        <v>SB</v>
      </c>
      <c r="D738" s="106">
        <f ca="1">IF(ISBLANK(OFFSET('Data Table'!$A733,2,Settings!$G$5-1)),"",OFFSET('Data Table'!$A733,2,Settings!$G$5-1))</f>
        <v>9.8000000000000007</v>
      </c>
      <c r="E738" s="106" t="str">
        <f ca="1">IF(ISBLANK(OFFSET('Data Table'!$A733,2,Settings!$G$5)),"",OFFSET('Data Table'!$A733,2,Settings!$G$5))</f>
        <v/>
      </c>
      <c r="F738" s="143" t="str">
        <f ca="1">IF(ISBLANK(OFFSET('Data Table'!$A733,2,Settings!$G$5+1)),"",OFFSET('Data Table'!$A733,2,Settings!$G$5+1))</f>
        <v/>
      </c>
      <c r="G738">
        <f t="shared" ca="1" si="11"/>
        <v>9.8000000000000007</v>
      </c>
      <c r="H738">
        <f ca="1">IF(G738=-888,"",IF(G738=-999,Settings!$G$4,IF(AND($AA$6="Excluded",G738&gt;=Settings!$G$2),"",G738)))</f>
        <v>9.8000000000000007</v>
      </c>
      <c r="I738">
        <f ca="1">IF(OR(G738=-999,G738=-888,AND($AA$6="Excluded",G738&gt;=Settings!$G$2)),"",G738)</f>
        <v>9.8000000000000007</v>
      </c>
      <c r="O738" s="46"/>
    </row>
    <row r="739" spans="1:15" x14ac:dyDescent="0.2">
      <c r="A739" s="1">
        <v>734</v>
      </c>
      <c r="B739" t="str">
        <f>IF(ISERROR(MATCH(TRIM('Data Table'!D736),Settings!$G$15:$G$20,0)),TRIM('Data Table'!D736),LOOKUP(TRIM('Data Table'!D736),Settings!$G$15:$G$20,Settings!$H$15:$H$20))</f>
        <v>Durham</v>
      </c>
      <c r="C739" t="str">
        <f>IF('Data Table'!F736="","SS",IF('Data Table'!F736="SF","SD",TRIM('Data Table'!F736)))</f>
        <v>SS</v>
      </c>
      <c r="D739" s="106">
        <f ca="1">IF(ISBLANK(OFFSET('Data Table'!$A734,2,Settings!$G$5-1)),"",OFFSET('Data Table'!$A734,2,Settings!$G$5-1))</f>
        <v>9.1999999999999993</v>
      </c>
      <c r="E739" s="106" t="str">
        <f ca="1">IF(ISBLANK(OFFSET('Data Table'!$A734,2,Settings!$G$5)),"",OFFSET('Data Table'!$A734,2,Settings!$G$5))</f>
        <v/>
      </c>
      <c r="F739" s="143" t="str">
        <f ca="1">IF(ISBLANK(OFFSET('Data Table'!$A734,2,Settings!$G$5+1)),"",OFFSET('Data Table'!$A734,2,Settings!$G$5+1))</f>
        <v/>
      </c>
      <c r="G739">
        <f t="shared" ca="1" si="11"/>
        <v>9.1999999999999993</v>
      </c>
      <c r="H739">
        <f ca="1">IF(G739=-888,"",IF(G739=-999,Settings!$G$4,IF(AND($AA$6="Excluded",G739&gt;=Settings!$G$2),"",G739)))</f>
        <v>9.1999999999999993</v>
      </c>
      <c r="I739">
        <f ca="1">IF(OR(G739=-999,G739=-888,AND($AA$6="Excluded",G739&gt;=Settings!$G$2)),"",G739)</f>
        <v>9.1999999999999993</v>
      </c>
      <c r="O739" s="46"/>
    </row>
    <row r="740" spans="1:15" x14ac:dyDescent="0.2">
      <c r="A740" s="1">
        <v>735</v>
      </c>
      <c r="B740" t="str">
        <f>IF(ISERROR(MATCH(TRIM('Data Table'!D737),Settings!$G$15:$G$20,0)),TRIM('Data Table'!D737),LOOKUP(TRIM('Data Table'!D737),Settings!$G$15:$G$20,Settings!$H$15:$H$20))</f>
        <v>Durham</v>
      </c>
      <c r="C740" t="str">
        <f>IF('Data Table'!F737="","SS",IF('Data Table'!F737="SF","SD",TRIM('Data Table'!F737)))</f>
        <v>SB</v>
      </c>
      <c r="D740" s="106">
        <f ca="1">IF(ISBLANK(OFFSET('Data Table'!$A735,2,Settings!$G$5-1)),"",OFFSET('Data Table'!$A735,2,Settings!$G$5-1))</f>
        <v>8.3000000000000007</v>
      </c>
      <c r="E740" s="106" t="str">
        <f ca="1">IF(ISBLANK(OFFSET('Data Table'!$A735,2,Settings!$G$5)),"",OFFSET('Data Table'!$A735,2,Settings!$G$5))</f>
        <v/>
      </c>
      <c r="F740" s="143" t="str">
        <f ca="1">IF(ISBLANK(OFFSET('Data Table'!$A735,2,Settings!$G$5+1)),"",OFFSET('Data Table'!$A735,2,Settings!$G$5+1))</f>
        <v/>
      </c>
      <c r="G740">
        <f t="shared" ca="1" si="11"/>
        <v>8.3000000000000007</v>
      </c>
      <c r="H740">
        <f ca="1">IF(G740=-888,"",IF(G740=-999,Settings!$G$4,IF(AND($AA$6="Excluded",G740&gt;=Settings!$G$2),"",G740)))</f>
        <v>8.3000000000000007</v>
      </c>
      <c r="I740">
        <f ca="1">IF(OR(G740=-999,G740=-888,AND($AA$6="Excluded",G740&gt;=Settings!$G$2)),"",G740)</f>
        <v>8.3000000000000007</v>
      </c>
      <c r="O740" s="46"/>
    </row>
    <row r="741" spans="1:15" x14ac:dyDescent="0.2">
      <c r="A741" s="1">
        <v>736</v>
      </c>
      <c r="B741" t="str">
        <f>IF(ISERROR(MATCH(TRIM('Data Table'!D738),Settings!$G$15:$G$20,0)),TRIM('Data Table'!D738),LOOKUP(TRIM('Data Table'!D738),Settings!$G$15:$G$20,Settings!$H$15:$H$20))</f>
        <v>Durham</v>
      </c>
      <c r="C741" t="str">
        <f>IF('Data Table'!F738="","SS",IF('Data Table'!F738="SF","SD",TRIM('Data Table'!F738)))</f>
        <v>SS</v>
      </c>
      <c r="D741" s="106">
        <f ca="1">IF(ISBLANK(OFFSET('Data Table'!$A736,2,Settings!$G$5-1)),"",OFFSET('Data Table'!$A736,2,Settings!$G$5-1))</f>
        <v>10.7</v>
      </c>
      <c r="E741" s="106" t="str">
        <f ca="1">IF(ISBLANK(OFFSET('Data Table'!$A736,2,Settings!$G$5)),"",OFFSET('Data Table'!$A736,2,Settings!$G$5))</f>
        <v/>
      </c>
      <c r="F741" s="143" t="str">
        <f ca="1">IF(ISBLANK(OFFSET('Data Table'!$A736,2,Settings!$G$5+1)),"",OFFSET('Data Table'!$A736,2,Settings!$G$5+1))</f>
        <v/>
      </c>
      <c r="G741">
        <f t="shared" ca="1" si="11"/>
        <v>10.7</v>
      </c>
      <c r="H741">
        <f ca="1">IF(G741=-888,"",IF(G741=-999,Settings!$G$4,IF(AND($AA$6="Excluded",G741&gt;=Settings!$G$2),"",G741)))</f>
        <v>10.7</v>
      </c>
      <c r="I741">
        <f ca="1">IF(OR(G741=-999,G741=-888,AND($AA$6="Excluded",G741&gt;=Settings!$G$2)),"",G741)</f>
        <v>10.7</v>
      </c>
      <c r="O741" s="46"/>
    </row>
    <row r="742" spans="1:15" x14ac:dyDescent="0.2">
      <c r="A742" s="1">
        <v>737</v>
      </c>
      <c r="B742" t="str">
        <f>IF(ISERROR(MATCH(TRIM('Data Table'!D739),Settings!$G$15:$G$20,0)),TRIM('Data Table'!D739),LOOKUP(TRIM('Data Table'!D739),Settings!$G$15:$G$20,Settings!$H$15:$H$20))</f>
        <v>Durham</v>
      </c>
      <c r="C742" t="str">
        <f>IF('Data Table'!F739="","SS",IF('Data Table'!F739="SF","SD",TRIM('Data Table'!F739)))</f>
        <v>SB</v>
      </c>
      <c r="D742" s="106">
        <f ca="1">IF(ISBLANK(OFFSET('Data Table'!$A737,2,Settings!$G$5-1)),"",OFFSET('Data Table'!$A737,2,Settings!$G$5-1))</f>
        <v>11.6</v>
      </c>
      <c r="E742" s="106" t="str">
        <f ca="1">IF(ISBLANK(OFFSET('Data Table'!$A737,2,Settings!$G$5)),"",OFFSET('Data Table'!$A737,2,Settings!$G$5))</f>
        <v/>
      </c>
      <c r="F742" s="143" t="str">
        <f ca="1">IF(ISBLANK(OFFSET('Data Table'!$A737,2,Settings!$G$5+1)),"",OFFSET('Data Table'!$A737,2,Settings!$G$5+1))</f>
        <v/>
      </c>
      <c r="G742">
        <f t="shared" ca="1" si="11"/>
        <v>11.6</v>
      </c>
      <c r="H742">
        <f ca="1">IF(G742=-888,"",IF(G742=-999,Settings!$G$4,IF(AND($AA$6="Excluded",G742&gt;=Settings!$G$2),"",G742)))</f>
        <v>11.6</v>
      </c>
      <c r="I742">
        <f ca="1">IF(OR(G742=-999,G742=-888,AND($AA$6="Excluded",G742&gt;=Settings!$G$2)),"",G742)</f>
        <v>11.6</v>
      </c>
      <c r="O742" s="46"/>
    </row>
    <row r="743" spans="1:15" x14ac:dyDescent="0.2">
      <c r="A743" s="1">
        <v>738</v>
      </c>
      <c r="B743" t="str">
        <f>IF(ISERROR(MATCH(TRIM('Data Table'!D740),Settings!$G$15:$G$20,0)),TRIM('Data Table'!D740),LOOKUP(TRIM('Data Table'!D740),Settings!$G$15:$G$20,Settings!$H$15:$H$20))</f>
        <v>Durham</v>
      </c>
      <c r="C743" t="str">
        <f>IF('Data Table'!F740="","SS",IF('Data Table'!F740="SF","SD",TRIM('Data Table'!F740)))</f>
        <v>SS</v>
      </c>
      <c r="D743" s="106">
        <f ca="1">IF(ISBLANK(OFFSET('Data Table'!$A738,2,Settings!$G$5-1)),"",OFFSET('Data Table'!$A738,2,Settings!$G$5-1))</f>
        <v>15.6</v>
      </c>
      <c r="E743" s="106" t="str">
        <f ca="1">IF(ISBLANK(OFFSET('Data Table'!$A738,2,Settings!$G$5)),"",OFFSET('Data Table'!$A738,2,Settings!$G$5))</f>
        <v/>
      </c>
      <c r="F743" s="143" t="str">
        <f ca="1">IF(ISBLANK(OFFSET('Data Table'!$A738,2,Settings!$G$5+1)),"",OFFSET('Data Table'!$A738,2,Settings!$G$5+1))</f>
        <v/>
      </c>
      <c r="G743">
        <f t="shared" ca="1" si="11"/>
        <v>15.6</v>
      </c>
      <c r="H743">
        <f ca="1">IF(G743=-888,"",IF(G743=-999,Settings!$G$4,IF(AND($AA$6="Excluded",G743&gt;=Settings!$G$2),"",G743)))</f>
        <v>15.6</v>
      </c>
      <c r="I743">
        <f ca="1">IF(OR(G743=-999,G743=-888,AND($AA$6="Excluded",G743&gt;=Settings!$G$2)),"",G743)</f>
        <v>15.6</v>
      </c>
      <c r="O743" s="46"/>
    </row>
    <row r="744" spans="1:15" x14ac:dyDescent="0.2">
      <c r="A744" s="1">
        <v>739</v>
      </c>
      <c r="B744" t="str">
        <f>IF(ISERROR(MATCH(TRIM('Data Table'!D741),Settings!$G$15:$G$20,0)),TRIM('Data Table'!D741),LOOKUP(TRIM('Data Table'!D741),Settings!$G$15:$G$20,Settings!$H$15:$H$20))</f>
        <v>Durham</v>
      </c>
      <c r="C744" t="str">
        <f>IF('Data Table'!F741="","SS",IF('Data Table'!F741="SF","SD",TRIM('Data Table'!F741)))</f>
        <v>SB</v>
      </c>
      <c r="D744" s="106">
        <f ca="1">IF(ISBLANK(OFFSET('Data Table'!$A739,2,Settings!$G$5-1)),"",OFFSET('Data Table'!$A739,2,Settings!$G$5-1))</f>
        <v>11.2</v>
      </c>
      <c r="E744" s="106" t="str">
        <f ca="1">IF(ISBLANK(OFFSET('Data Table'!$A739,2,Settings!$G$5)),"",OFFSET('Data Table'!$A739,2,Settings!$G$5))</f>
        <v/>
      </c>
      <c r="F744" s="143" t="str">
        <f ca="1">IF(ISBLANK(OFFSET('Data Table'!$A739,2,Settings!$G$5+1)),"",OFFSET('Data Table'!$A739,2,Settings!$G$5+1))</f>
        <v/>
      </c>
      <c r="G744">
        <f t="shared" ca="1" si="11"/>
        <v>11.2</v>
      </c>
      <c r="H744">
        <f ca="1">IF(G744=-888,"",IF(G744=-999,Settings!$G$4,IF(AND($AA$6="Excluded",G744&gt;=Settings!$G$2),"",G744)))</f>
        <v>11.2</v>
      </c>
      <c r="I744">
        <f ca="1">IF(OR(G744=-999,G744=-888,AND($AA$6="Excluded",G744&gt;=Settings!$G$2)),"",G744)</f>
        <v>11.2</v>
      </c>
      <c r="O744" s="46"/>
    </row>
    <row r="745" spans="1:15" x14ac:dyDescent="0.2">
      <c r="A745" s="1">
        <v>740</v>
      </c>
      <c r="B745" t="str">
        <f>IF(ISERROR(MATCH(TRIM('Data Table'!D742),Settings!$G$15:$G$20,0)),TRIM('Data Table'!D742),LOOKUP(TRIM('Data Table'!D742),Settings!$G$15:$G$20,Settings!$H$15:$H$20))</f>
        <v>Durham</v>
      </c>
      <c r="C745" t="str">
        <f>IF('Data Table'!F742="","SS",IF('Data Table'!F742="SF","SD",TRIM('Data Table'!F742)))</f>
        <v>SS</v>
      </c>
      <c r="D745" s="106">
        <f ca="1">IF(ISBLANK(OFFSET('Data Table'!$A740,2,Settings!$G$5-1)),"",OFFSET('Data Table'!$A740,2,Settings!$G$5-1))</f>
        <v>7.1</v>
      </c>
      <c r="E745" s="106" t="str">
        <f ca="1">IF(ISBLANK(OFFSET('Data Table'!$A740,2,Settings!$G$5)),"",OFFSET('Data Table'!$A740,2,Settings!$G$5))</f>
        <v/>
      </c>
      <c r="F745" s="143" t="str">
        <f ca="1">IF(ISBLANK(OFFSET('Data Table'!$A740,2,Settings!$G$5+1)),"",OFFSET('Data Table'!$A740,2,Settings!$G$5+1))</f>
        <v/>
      </c>
      <c r="G745">
        <f t="shared" ca="1" si="11"/>
        <v>7.1</v>
      </c>
      <c r="H745">
        <f ca="1">IF(G745=-888,"",IF(G745=-999,Settings!$G$4,IF(AND($AA$6="Excluded",G745&gt;=Settings!$G$2),"",G745)))</f>
        <v>7.1</v>
      </c>
      <c r="I745">
        <f ca="1">IF(OR(G745=-999,G745=-888,AND($AA$6="Excluded",G745&gt;=Settings!$G$2)),"",G745)</f>
        <v>7.1</v>
      </c>
      <c r="O745" s="46"/>
    </row>
    <row r="746" spans="1:15" x14ac:dyDescent="0.2">
      <c r="A746" s="1">
        <v>741</v>
      </c>
      <c r="B746" t="str">
        <f>IF(ISERROR(MATCH(TRIM('Data Table'!D743),Settings!$G$15:$G$20,0)),TRIM('Data Table'!D743),LOOKUP(TRIM('Data Table'!D743),Settings!$G$15:$G$20,Settings!$H$15:$H$20))</f>
        <v>Durham</v>
      </c>
      <c r="C746" t="str">
        <f>IF('Data Table'!F743="","SS",IF('Data Table'!F743="SF","SD",TRIM('Data Table'!F743)))</f>
        <v>SB</v>
      </c>
      <c r="D746" s="106">
        <f ca="1">IF(ISBLANK(OFFSET('Data Table'!$A741,2,Settings!$G$5-1)),"",OFFSET('Data Table'!$A741,2,Settings!$G$5-1))</f>
        <v>5.3</v>
      </c>
      <c r="E746" s="106" t="str">
        <f ca="1">IF(ISBLANK(OFFSET('Data Table'!$A741,2,Settings!$G$5)),"",OFFSET('Data Table'!$A741,2,Settings!$G$5))</f>
        <v/>
      </c>
      <c r="F746" s="143" t="str">
        <f ca="1">IF(ISBLANK(OFFSET('Data Table'!$A741,2,Settings!$G$5+1)),"",OFFSET('Data Table'!$A741,2,Settings!$G$5+1))</f>
        <v/>
      </c>
      <c r="G746">
        <f t="shared" ca="1" si="11"/>
        <v>5.3</v>
      </c>
      <c r="H746">
        <f ca="1">IF(G746=-888,"",IF(G746=-999,Settings!$G$4,IF(AND($AA$6="Excluded",G746&gt;=Settings!$G$2),"",G746)))</f>
        <v>5.3</v>
      </c>
      <c r="I746">
        <f ca="1">IF(OR(G746=-999,G746=-888,AND($AA$6="Excluded",G746&gt;=Settings!$G$2)),"",G746)</f>
        <v>5.3</v>
      </c>
      <c r="O746" s="46"/>
    </row>
    <row r="747" spans="1:15" x14ac:dyDescent="0.2">
      <c r="A747" s="1">
        <v>742</v>
      </c>
      <c r="B747" t="str">
        <f>IF(ISERROR(MATCH(TRIM('Data Table'!D744),Settings!$G$15:$G$20,0)),TRIM('Data Table'!D744),LOOKUP(TRIM('Data Table'!D744),Settings!$G$15:$G$20,Settings!$H$15:$H$20))</f>
        <v>Durham</v>
      </c>
      <c r="C747" t="str">
        <f>IF('Data Table'!F744="","SS",IF('Data Table'!F744="SF","SD",TRIM('Data Table'!F744)))</f>
        <v>SS</v>
      </c>
      <c r="D747" s="106">
        <f ca="1">IF(ISBLANK(OFFSET('Data Table'!$A742,2,Settings!$G$5-1)),"",OFFSET('Data Table'!$A742,2,Settings!$G$5-1))</f>
        <v>14.8</v>
      </c>
      <c r="E747" s="106" t="str">
        <f ca="1">IF(ISBLANK(OFFSET('Data Table'!$A742,2,Settings!$G$5)),"",OFFSET('Data Table'!$A742,2,Settings!$G$5))</f>
        <v/>
      </c>
      <c r="F747" s="143" t="str">
        <f ca="1">IF(ISBLANK(OFFSET('Data Table'!$A742,2,Settings!$G$5+1)),"",OFFSET('Data Table'!$A742,2,Settings!$G$5+1))</f>
        <v/>
      </c>
      <c r="G747">
        <f t="shared" ca="1" si="11"/>
        <v>14.8</v>
      </c>
      <c r="H747">
        <f ca="1">IF(G747=-888,"",IF(G747=-999,Settings!$G$4,IF(AND($AA$6="Excluded",G747&gt;=Settings!$G$2),"",G747)))</f>
        <v>14.8</v>
      </c>
      <c r="I747">
        <f ca="1">IF(OR(G747=-999,G747=-888,AND($AA$6="Excluded",G747&gt;=Settings!$G$2)),"",G747)</f>
        <v>14.8</v>
      </c>
      <c r="O747" s="46"/>
    </row>
    <row r="748" spans="1:15" x14ac:dyDescent="0.2">
      <c r="A748" s="1">
        <v>743</v>
      </c>
      <c r="B748" t="str">
        <f>IF(ISERROR(MATCH(TRIM('Data Table'!D745),Settings!$G$15:$G$20,0)),TRIM('Data Table'!D745),LOOKUP(TRIM('Data Table'!D745),Settings!$G$15:$G$20,Settings!$H$15:$H$20))</f>
        <v>Durham</v>
      </c>
      <c r="C748" t="str">
        <f>IF('Data Table'!F745="","SS",IF('Data Table'!F745="SF","SD",TRIM('Data Table'!F745)))</f>
        <v>SB</v>
      </c>
      <c r="D748" s="106">
        <f ca="1">IF(ISBLANK(OFFSET('Data Table'!$A743,2,Settings!$G$5-1)),"",OFFSET('Data Table'!$A743,2,Settings!$G$5-1))</f>
        <v>21.9</v>
      </c>
      <c r="E748" s="106" t="str">
        <f ca="1">IF(ISBLANK(OFFSET('Data Table'!$A743,2,Settings!$G$5)),"",OFFSET('Data Table'!$A743,2,Settings!$G$5))</f>
        <v/>
      </c>
      <c r="F748" s="143" t="str">
        <f ca="1">IF(ISBLANK(OFFSET('Data Table'!$A743,2,Settings!$G$5+1)),"",OFFSET('Data Table'!$A743,2,Settings!$G$5+1))</f>
        <v/>
      </c>
      <c r="G748">
        <f t="shared" ca="1" si="11"/>
        <v>21.9</v>
      </c>
      <c r="H748">
        <f ca="1">IF(G748=-888,"",IF(G748=-999,Settings!$G$4,IF(AND($AA$6="Excluded",G748&gt;=Settings!$G$2),"",G748)))</f>
        <v>21.9</v>
      </c>
      <c r="I748">
        <f ca="1">IF(OR(G748=-999,G748=-888,AND($AA$6="Excluded",G748&gt;=Settings!$G$2)),"",G748)</f>
        <v>21.9</v>
      </c>
      <c r="O748" s="46"/>
    </row>
    <row r="749" spans="1:15" x14ac:dyDescent="0.2">
      <c r="A749" s="1">
        <v>744</v>
      </c>
      <c r="B749" t="str">
        <f>IF(ISERROR(MATCH(TRIM('Data Table'!D746),Settings!$G$15:$G$20,0)),TRIM('Data Table'!D746),LOOKUP(TRIM('Data Table'!D746),Settings!$G$15:$G$20,Settings!$H$15:$H$20))</f>
        <v>Durham</v>
      </c>
      <c r="C749" t="str">
        <f>IF('Data Table'!F746="","SS",IF('Data Table'!F746="SF","SD",TRIM('Data Table'!F746)))</f>
        <v>SS</v>
      </c>
      <c r="D749" s="106">
        <f ca="1">IF(ISBLANK(OFFSET('Data Table'!$A744,2,Settings!$G$5-1)),"",OFFSET('Data Table'!$A744,2,Settings!$G$5-1))</f>
        <v>10</v>
      </c>
      <c r="E749" s="106" t="str">
        <f ca="1">IF(ISBLANK(OFFSET('Data Table'!$A744,2,Settings!$G$5)),"",OFFSET('Data Table'!$A744,2,Settings!$G$5))</f>
        <v/>
      </c>
      <c r="F749" s="143" t="str">
        <f ca="1">IF(ISBLANK(OFFSET('Data Table'!$A744,2,Settings!$G$5+1)),"",OFFSET('Data Table'!$A744,2,Settings!$G$5+1))</f>
        <v/>
      </c>
      <c r="G749">
        <f t="shared" ca="1" si="11"/>
        <v>10</v>
      </c>
      <c r="H749">
        <f ca="1">IF(G749=-888,"",IF(G749=-999,Settings!$G$4,IF(AND($AA$6="Excluded",G749&gt;=Settings!$G$2),"",G749)))</f>
        <v>10</v>
      </c>
      <c r="I749">
        <f ca="1">IF(OR(G749=-999,G749=-888,AND($AA$6="Excluded",G749&gt;=Settings!$G$2)),"",G749)</f>
        <v>10</v>
      </c>
      <c r="O749" s="46"/>
    </row>
    <row r="750" spans="1:15" x14ac:dyDescent="0.2">
      <c r="A750" s="1">
        <v>745</v>
      </c>
      <c r="B750" t="str">
        <f>IF(ISERROR(MATCH(TRIM('Data Table'!D747),Settings!$G$15:$G$20,0)),TRIM('Data Table'!D747),LOOKUP(TRIM('Data Table'!D747),Settings!$G$15:$G$20,Settings!$H$15:$H$20))</f>
        <v>Durham</v>
      </c>
      <c r="C750" t="str">
        <f>IF('Data Table'!F747="","SS",IF('Data Table'!F747="SF","SD",TRIM('Data Table'!F747)))</f>
        <v>SB</v>
      </c>
      <c r="D750" s="106">
        <f ca="1">IF(ISBLANK(OFFSET('Data Table'!$A745,2,Settings!$G$5-1)),"",OFFSET('Data Table'!$A745,2,Settings!$G$5-1))</f>
        <v>7.1</v>
      </c>
      <c r="E750" s="106" t="str">
        <f ca="1">IF(ISBLANK(OFFSET('Data Table'!$A745,2,Settings!$G$5)),"",OFFSET('Data Table'!$A745,2,Settings!$G$5))</f>
        <v/>
      </c>
      <c r="F750" s="143" t="str">
        <f ca="1">IF(ISBLANK(OFFSET('Data Table'!$A745,2,Settings!$G$5+1)),"",OFFSET('Data Table'!$A745,2,Settings!$G$5+1))</f>
        <v/>
      </c>
      <c r="G750">
        <f t="shared" ca="1" si="11"/>
        <v>7.1</v>
      </c>
      <c r="H750">
        <f ca="1">IF(G750=-888,"",IF(G750=-999,Settings!$G$4,IF(AND($AA$6="Excluded",G750&gt;=Settings!$G$2),"",G750)))</f>
        <v>7.1</v>
      </c>
      <c r="I750">
        <f ca="1">IF(OR(G750=-999,G750=-888,AND($AA$6="Excluded",G750&gt;=Settings!$G$2)),"",G750)</f>
        <v>7.1</v>
      </c>
      <c r="O750" s="46"/>
    </row>
    <row r="751" spans="1:15" x14ac:dyDescent="0.2">
      <c r="A751" s="1">
        <v>746</v>
      </c>
      <c r="B751" t="str">
        <f>IF(ISERROR(MATCH(TRIM('Data Table'!D748),Settings!$G$15:$G$20,0)),TRIM('Data Table'!D748),LOOKUP(TRIM('Data Table'!D748),Settings!$G$15:$G$20,Settings!$H$15:$H$20))</f>
        <v>Durham</v>
      </c>
      <c r="C751" t="str">
        <f>IF('Data Table'!F748="","SS",IF('Data Table'!F748="SF","SD",TRIM('Data Table'!F748)))</f>
        <v>SS</v>
      </c>
      <c r="D751" s="106">
        <f ca="1">IF(ISBLANK(OFFSET('Data Table'!$A746,2,Settings!$G$5-1)),"",OFFSET('Data Table'!$A746,2,Settings!$G$5-1))</f>
        <v>12.1</v>
      </c>
      <c r="E751" s="106" t="str">
        <f ca="1">IF(ISBLANK(OFFSET('Data Table'!$A746,2,Settings!$G$5)),"",OFFSET('Data Table'!$A746,2,Settings!$G$5))</f>
        <v/>
      </c>
      <c r="F751" s="143" t="str">
        <f ca="1">IF(ISBLANK(OFFSET('Data Table'!$A746,2,Settings!$G$5+1)),"",OFFSET('Data Table'!$A746,2,Settings!$G$5+1))</f>
        <v/>
      </c>
      <c r="G751">
        <f t="shared" ca="1" si="11"/>
        <v>12.1</v>
      </c>
      <c r="H751">
        <f ca="1">IF(G751=-888,"",IF(G751=-999,Settings!$G$4,IF(AND($AA$6="Excluded",G751&gt;=Settings!$G$2),"",G751)))</f>
        <v>12.1</v>
      </c>
      <c r="I751">
        <f ca="1">IF(OR(G751=-999,G751=-888,AND($AA$6="Excluded",G751&gt;=Settings!$G$2)),"",G751)</f>
        <v>12.1</v>
      </c>
      <c r="O751" s="46"/>
    </row>
    <row r="752" spans="1:15" x14ac:dyDescent="0.2">
      <c r="A752" s="1">
        <v>747</v>
      </c>
      <c r="B752" t="str">
        <f>IF(ISERROR(MATCH(TRIM('Data Table'!D749),Settings!$G$15:$G$20,0)),TRIM('Data Table'!D749),LOOKUP(TRIM('Data Table'!D749),Settings!$G$15:$G$20,Settings!$H$15:$H$20))</f>
        <v>Durham</v>
      </c>
      <c r="C752" t="str">
        <f>IF('Data Table'!F749="","SS",IF('Data Table'!F749="SF","SD",TRIM('Data Table'!F749)))</f>
        <v>SB</v>
      </c>
      <c r="D752" s="106">
        <f ca="1">IF(ISBLANK(OFFSET('Data Table'!$A747,2,Settings!$G$5-1)),"",OFFSET('Data Table'!$A747,2,Settings!$G$5-1))</f>
        <v>17</v>
      </c>
      <c r="E752" s="106" t="str">
        <f ca="1">IF(ISBLANK(OFFSET('Data Table'!$A747,2,Settings!$G$5)),"",OFFSET('Data Table'!$A747,2,Settings!$G$5))</f>
        <v/>
      </c>
      <c r="F752" s="143" t="str">
        <f ca="1">IF(ISBLANK(OFFSET('Data Table'!$A747,2,Settings!$G$5+1)),"",OFFSET('Data Table'!$A747,2,Settings!$G$5+1))</f>
        <v/>
      </c>
      <c r="G752">
        <f t="shared" ca="1" si="11"/>
        <v>17</v>
      </c>
      <c r="H752">
        <f ca="1">IF(G752=-888,"",IF(G752=-999,Settings!$G$4,IF(AND($AA$6="Excluded",G752&gt;=Settings!$G$2),"",G752)))</f>
        <v>17</v>
      </c>
      <c r="I752">
        <f ca="1">IF(OR(G752=-999,G752=-888,AND($AA$6="Excluded",G752&gt;=Settings!$G$2)),"",G752)</f>
        <v>17</v>
      </c>
      <c r="O752" s="46"/>
    </row>
    <row r="753" spans="1:15" x14ac:dyDescent="0.2">
      <c r="A753" s="1">
        <v>748</v>
      </c>
      <c r="B753" t="str">
        <f>IF(ISERROR(MATCH(TRIM('Data Table'!D750),Settings!$G$15:$G$20,0)),TRIM('Data Table'!D750),LOOKUP(TRIM('Data Table'!D750),Settings!$G$15:$G$20,Settings!$H$15:$H$20))</f>
        <v>Durham</v>
      </c>
      <c r="C753" t="str">
        <f>IF('Data Table'!F750="","SS",IF('Data Table'!F750="SF","SD",TRIM('Data Table'!F750)))</f>
        <v>SS</v>
      </c>
      <c r="D753" s="106">
        <f ca="1">IF(ISBLANK(OFFSET('Data Table'!$A748,2,Settings!$G$5-1)),"",OFFSET('Data Table'!$A748,2,Settings!$G$5-1))</f>
        <v>14.8</v>
      </c>
      <c r="E753" s="106" t="str">
        <f ca="1">IF(ISBLANK(OFFSET('Data Table'!$A748,2,Settings!$G$5)),"",OFFSET('Data Table'!$A748,2,Settings!$G$5))</f>
        <v/>
      </c>
      <c r="F753" s="143" t="str">
        <f ca="1">IF(ISBLANK(OFFSET('Data Table'!$A748,2,Settings!$G$5+1)),"",OFFSET('Data Table'!$A748,2,Settings!$G$5+1))</f>
        <v/>
      </c>
      <c r="G753">
        <f t="shared" ca="1" si="11"/>
        <v>14.8</v>
      </c>
      <c r="H753">
        <f ca="1">IF(G753=-888,"",IF(G753=-999,Settings!$G$4,IF(AND($AA$6="Excluded",G753&gt;=Settings!$G$2),"",G753)))</f>
        <v>14.8</v>
      </c>
      <c r="I753">
        <f ca="1">IF(OR(G753=-999,G753=-888,AND($AA$6="Excluded",G753&gt;=Settings!$G$2)),"",G753)</f>
        <v>14.8</v>
      </c>
      <c r="O753" s="46"/>
    </row>
    <row r="754" spans="1:15" x14ac:dyDescent="0.2">
      <c r="A754" s="1">
        <v>749</v>
      </c>
      <c r="B754" t="str">
        <f>IF(ISERROR(MATCH(TRIM('Data Table'!D751),Settings!$G$15:$G$20,0)),TRIM('Data Table'!D751),LOOKUP(TRIM('Data Table'!D751),Settings!$G$15:$G$20,Settings!$H$15:$H$20))</f>
        <v>Durham</v>
      </c>
      <c r="C754" t="str">
        <f>IF('Data Table'!F751="","SS",IF('Data Table'!F751="SF","SD",TRIM('Data Table'!F751)))</f>
        <v>SB</v>
      </c>
      <c r="D754" s="106">
        <f ca="1">IF(ISBLANK(OFFSET('Data Table'!$A749,2,Settings!$G$5-1)),"",OFFSET('Data Table'!$A749,2,Settings!$G$5-1))</f>
        <v>17.8</v>
      </c>
      <c r="E754" s="106" t="str">
        <f ca="1">IF(ISBLANK(OFFSET('Data Table'!$A749,2,Settings!$G$5)),"",OFFSET('Data Table'!$A749,2,Settings!$G$5))</f>
        <v/>
      </c>
      <c r="F754" s="143" t="str">
        <f ca="1">IF(ISBLANK(OFFSET('Data Table'!$A749,2,Settings!$G$5+1)),"",OFFSET('Data Table'!$A749,2,Settings!$G$5+1))</f>
        <v/>
      </c>
      <c r="G754">
        <f t="shared" ca="1" si="11"/>
        <v>17.8</v>
      </c>
      <c r="H754">
        <f ca="1">IF(G754=-888,"",IF(G754=-999,Settings!$G$4,IF(AND($AA$6="Excluded",G754&gt;=Settings!$G$2),"",G754)))</f>
        <v>17.8</v>
      </c>
      <c r="I754">
        <f ca="1">IF(OR(G754=-999,G754=-888,AND($AA$6="Excluded",G754&gt;=Settings!$G$2)),"",G754)</f>
        <v>17.8</v>
      </c>
      <c r="O754" s="46"/>
    </row>
    <row r="755" spans="1:15" x14ac:dyDescent="0.2">
      <c r="A755" s="1">
        <v>750</v>
      </c>
      <c r="B755" t="str">
        <f>IF(ISERROR(MATCH(TRIM('Data Table'!D752),Settings!$G$15:$G$20,0)),TRIM('Data Table'!D752),LOOKUP(TRIM('Data Table'!D752),Settings!$G$15:$G$20,Settings!$H$15:$H$20))</f>
        <v>Durham</v>
      </c>
      <c r="C755" t="str">
        <f>IF('Data Table'!F752="","SS",IF('Data Table'!F752="SF","SD",TRIM('Data Table'!F752)))</f>
        <v>SS</v>
      </c>
      <c r="D755" s="106">
        <f ca="1">IF(ISBLANK(OFFSET('Data Table'!$A750,2,Settings!$G$5-1)),"",OFFSET('Data Table'!$A750,2,Settings!$G$5-1))</f>
        <v>16.2</v>
      </c>
      <c r="E755" s="106" t="str">
        <f ca="1">IF(ISBLANK(OFFSET('Data Table'!$A750,2,Settings!$G$5)),"",OFFSET('Data Table'!$A750,2,Settings!$G$5))</f>
        <v/>
      </c>
      <c r="F755" s="143" t="str">
        <f ca="1">IF(ISBLANK(OFFSET('Data Table'!$A750,2,Settings!$G$5+1)),"",OFFSET('Data Table'!$A750,2,Settings!$G$5+1))</f>
        <v/>
      </c>
      <c r="G755">
        <f t="shared" ca="1" si="11"/>
        <v>16.2</v>
      </c>
      <c r="H755">
        <f ca="1">IF(G755=-888,"",IF(G755=-999,Settings!$G$4,IF(AND($AA$6="Excluded",G755&gt;=Settings!$G$2),"",G755)))</f>
        <v>16.2</v>
      </c>
      <c r="I755">
        <f ca="1">IF(OR(G755=-999,G755=-888,AND($AA$6="Excluded",G755&gt;=Settings!$G$2)),"",G755)</f>
        <v>16.2</v>
      </c>
      <c r="O755" s="46"/>
    </row>
    <row r="756" spans="1:15" x14ac:dyDescent="0.2">
      <c r="A756" s="1">
        <v>751</v>
      </c>
      <c r="B756" t="str">
        <f>IF(ISERROR(MATCH(TRIM('Data Table'!D753),Settings!$G$15:$G$20,0)),TRIM('Data Table'!D753),LOOKUP(TRIM('Data Table'!D753),Settings!$G$15:$G$20,Settings!$H$15:$H$20))</f>
        <v>Durham</v>
      </c>
      <c r="C756" t="str">
        <f>IF('Data Table'!F753="","SS",IF('Data Table'!F753="SF","SD",TRIM('Data Table'!F753)))</f>
        <v>SB</v>
      </c>
      <c r="D756" s="106">
        <f ca="1">IF(ISBLANK(OFFSET('Data Table'!$A751,2,Settings!$G$5-1)),"",OFFSET('Data Table'!$A751,2,Settings!$G$5-1))</f>
        <v>24.4</v>
      </c>
      <c r="E756" s="106" t="str">
        <f ca="1">IF(ISBLANK(OFFSET('Data Table'!$A751,2,Settings!$G$5)),"",OFFSET('Data Table'!$A751,2,Settings!$G$5))</f>
        <v/>
      </c>
      <c r="F756" s="143" t="str">
        <f ca="1">IF(ISBLANK(OFFSET('Data Table'!$A751,2,Settings!$G$5+1)),"",OFFSET('Data Table'!$A751,2,Settings!$G$5+1))</f>
        <v/>
      </c>
      <c r="G756">
        <f t="shared" ca="1" si="11"/>
        <v>24.4</v>
      </c>
      <c r="H756">
        <f ca="1">IF(G756=-888,"",IF(G756=-999,Settings!$G$4,IF(AND($AA$6="Excluded",G756&gt;=Settings!$G$2),"",G756)))</f>
        <v>24.4</v>
      </c>
      <c r="I756">
        <f ca="1">IF(OR(G756=-999,G756=-888,AND($AA$6="Excluded",G756&gt;=Settings!$G$2)),"",G756)</f>
        <v>24.4</v>
      </c>
      <c r="O756" s="46"/>
    </row>
    <row r="757" spans="1:15" x14ac:dyDescent="0.2">
      <c r="A757" s="1">
        <v>752</v>
      </c>
      <c r="B757" t="str">
        <f>IF(ISERROR(MATCH(TRIM('Data Table'!D754),Settings!$G$15:$G$20,0)),TRIM('Data Table'!D754),LOOKUP(TRIM('Data Table'!D754),Settings!$G$15:$G$20,Settings!$H$15:$H$20))</f>
        <v>Hyde</v>
      </c>
      <c r="C757" t="str">
        <f>IF('Data Table'!F754="","SS",IF('Data Table'!F754="SF","SD",TRIM('Data Table'!F754)))</f>
        <v>SS</v>
      </c>
      <c r="D757" s="106">
        <f ca="1">IF(ISBLANK(OFFSET('Data Table'!$A752,2,Settings!$G$5-1)),"",OFFSET('Data Table'!$A752,2,Settings!$G$5-1))</f>
        <v>3.7</v>
      </c>
      <c r="E757" s="106" t="str">
        <f ca="1">IF(ISBLANK(OFFSET('Data Table'!$A752,2,Settings!$G$5)),"",OFFSET('Data Table'!$A752,2,Settings!$G$5))</f>
        <v/>
      </c>
      <c r="F757" s="143" t="str">
        <f ca="1">IF(ISBLANK(OFFSET('Data Table'!$A752,2,Settings!$G$5+1)),"",OFFSET('Data Table'!$A752,2,Settings!$G$5+1))</f>
        <v/>
      </c>
      <c r="G757">
        <f t="shared" ca="1" si="11"/>
        <v>3.7</v>
      </c>
      <c r="H757">
        <f ca="1">IF(G757=-888,"",IF(G757=-999,Settings!$G$4,IF(AND($AA$6="Excluded",G757&gt;=Settings!$G$2),"",G757)))</f>
        <v>3.7</v>
      </c>
      <c r="I757">
        <f ca="1">IF(OR(G757=-999,G757=-888,AND($AA$6="Excluded",G757&gt;=Settings!$G$2)),"",G757)</f>
        <v>3.7</v>
      </c>
      <c r="O757" s="46"/>
    </row>
    <row r="758" spans="1:15" x14ac:dyDescent="0.2">
      <c r="A758" s="1">
        <v>753</v>
      </c>
      <c r="B758" t="str">
        <f>IF(ISERROR(MATCH(TRIM('Data Table'!D755),Settings!$G$15:$G$20,0)),TRIM('Data Table'!D755),LOOKUP(TRIM('Data Table'!D755),Settings!$G$15:$G$20,Settings!$H$15:$H$20))</f>
        <v>Hyde</v>
      </c>
      <c r="C758" t="str">
        <f>IF('Data Table'!F755="","SS",IF('Data Table'!F755="SF","SD",TRIM('Data Table'!F755)))</f>
        <v>SS</v>
      </c>
      <c r="D758" s="106">
        <f ca="1">IF(ISBLANK(OFFSET('Data Table'!$A753,2,Settings!$G$5-1)),"",OFFSET('Data Table'!$A753,2,Settings!$G$5-1))</f>
        <v>5.0999999999999996</v>
      </c>
      <c r="E758" s="106" t="str">
        <f ca="1">IF(ISBLANK(OFFSET('Data Table'!$A753,2,Settings!$G$5)),"",OFFSET('Data Table'!$A753,2,Settings!$G$5))</f>
        <v/>
      </c>
      <c r="F758" s="143" t="str">
        <f ca="1">IF(ISBLANK(OFFSET('Data Table'!$A753,2,Settings!$G$5+1)),"",OFFSET('Data Table'!$A753,2,Settings!$G$5+1))</f>
        <v/>
      </c>
      <c r="G758">
        <f t="shared" ca="1" si="11"/>
        <v>5.0999999999999996</v>
      </c>
      <c r="H758">
        <f ca="1">IF(G758=-888,"",IF(G758=-999,Settings!$G$4,IF(AND($AA$6="Excluded",G758&gt;=Settings!$G$2),"",G758)))</f>
        <v>5.0999999999999996</v>
      </c>
      <c r="I758">
        <f ca="1">IF(OR(G758=-999,G758=-888,AND($AA$6="Excluded",G758&gt;=Settings!$G$2)),"",G758)</f>
        <v>5.0999999999999996</v>
      </c>
      <c r="O758" s="46"/>
    </row>
    <row r="759" spans="1:15" x14ac:dyDescent="0.2">
      <c r="A759" s="1">
        <v>754</v>
      </c>
      <c r="B759" t="str">
        <f>IF(ISERROR(MATCH(TRIM('Data Table'!D756),Settings!$G$15:$G$20,0)),TRIM('Data Table'!D756),LOOKUP(TRIM('Data Table'!D756),Settings!$G$15:$G$20,Settings!$H$15:$H$20))</f>
        <v>Hyde</v>
      </c>
      <c r="C759" t="str">
        <f>IF('Data Table'!F756="","SS",IF('Data Table'!F756="SF","SD",TRIM('Data Table'!F756)))</f>
        <v>SS</v>
      </c>
      <c r="D759" s="106">
        <f ca="1">IF(ISBLANK(OFFSET('Data Table'!$A754,2,Settings!$G$5-1)),"",OFFSET('Data Table'!$A754,2,Settings!$G$5-1))</f>
        <v>5.0999999999999996</v>
      </c>
      <c r="E759" s="106" t="str">
        <f ca="1">IF(ISBLANK(OFFSET('Data Table'!$A754,2,Settings!$G$5)),"",OFFSET('Data Table'!$A754,2,Settings!$G$5))</f>
        <v/>
      </c>
      <c r="F759" s="143" t="str">
        <f ca="1">IF(ISBLANK(OFFSET('Data Table'!$A754,2,Settings!$G$5+1)),"",OFFSET('Data Table'!$A754,2,Settings!$G$5+1))</f>
        <v/>
      </c>
      <c r="G759">
        <f t="shared" ca="1" si="11"/>
        <v>5.0999999999999996</v>
      </c>
      <c r="H759">
        <f ca="1">IF(G759=-888,"",IF(G759=-999,Settings!$G$4,IF(AND($AA$6="Excluded",G759&gt;=Settings!$G$2),"",G759)))</f>
        <v>5.0999999999999996</v>
      </c>
      <c r="I759">
        <f ca="1">IF(OR(G759=-999,G759=-888,AND($AA$6="Excluded",G759&gt;=Settings!$G$2)),"",G759)</f>
        <v>5.0999999999999996</v>
      </c>
      <c r="O759" s="46"/>
    </row>
    <row r="760" spans="1:15" x14ac:dyDescent="0.2">
      <c r="A760" s="1">
        <v>755</v>
      </c>
      <c r="B760" t="str">
        <f>IF(ISERROR(MATCH(TRIM('Data Table'!D757),Settings!$G$15:$G$20,0)),TRIM('Data Table'!D757),LOOKUP(TRIM('Data Table'!D757),Settings!$G$15:$G$20,Settings!$H$15:$H$20))</f>
        <v>Hyde</v>
      </c>
      <c r="C760" t="str">
        <f>IF('Data Table'!F757="","SS",IF('Data Table'!F757="SF","SD",TRIM('Data Table'!F757)))</f>
        <v>SS</v>
      </c>
      <c r="D760" s="106">
        <f ca="1">IF(ISBLANK(OFFSET('Data Table'!$A755,2,Settings!$G$5-1)),"",OFFSET('Data Table'!$A755,2,Settings!$G$5-1))</f>
        <v>16</v>
      </c>
      <c r="E760" s="106" t="str">
        <f ca="1">IF(ISBLANK(OFFSET('Data Table'!$A755,2,Settings!$G$5)),"",OFFSET('Data Table'!$A755,2,Settings!$G$5))</f>
        <v/>
      </c>
      <c r="F760" s="143" t="str">
        <f ca="1">IF(ISBLANK(OFFSET('Data Table'!$A755,2,Settings!$G$5+1)),"",OFFSET('Data Table'!$A755,2,Settings!$G$5+1))</f>
        <v/>
      </c>
      <c r="G760">
        <f t="shared" ca="1" si="11"/>
        <v>16</v>
      </c>
      <c r="H760">
        <f ca="1">IF(G760=-888,"",IF(G760=-999,Settings!$G$4,IF(AND($AA$6="Excluded",G760&gt;=Settings!$G$2),"",G760)))</f>
        <v>16</v>
      </c>
      <c r="I760">
        <f ca="1">IF(OR(G760=-999,G760=-888,AND($AA$6="Excluded",G760&gt;=Settings!$G$2)),"",G760)</f>
        <v>16</v>
      </c>
      <c r="O760" s="46"/>
    </row>
    <row r="761" spans="1:15" x14ac:dyDescent="0.2">
      <c r="A761" s="1">
        <v>756</v>
      </c>
      <c r="B761" t="str">
        <f>IF(ISERROR(MATCH(TRIM('Data Table'!D758),Settings!$G$15:$G$20,0)),TRIM('Data Table'!D758),LOOKUP(TRIM('Data Table'!D758),Settings!$G$15:$G$20,Settings!$H$15:$H$20))</f>
        <v>Hyde</v>
      </c>
      <c r="C761" t="str">
        <f>IF('Data Table'!F758="","SS",IF('Data Table'!F758="SF","SD",TRIM('Data Table'!F758)))</f>
        <v>SS</v>
      </c>
      <c r="D761" s="106">
        <f ca="1">IF(ISBLANK(OFFSET('Data Table'!$A756,2,Settings!$G$5-1)),"",OFFSET('Data Table'!$A756,2,Settings!$G$5-1))</f>
        <v>5</v>
      </c>
      <c r="E761" s="106" t="str">
        <f ca="1">IF(ISBLANK(OFFSET('Data Table'!$A756,2,Settings!$G$5)),"",OFFSET('Data Table'!$A756,2,Settings!$G$5))</f>
        <v/>
      </c>
      <c r="F761" s="143" t="str">
        <f ca="1">IF(ISBLANK(OFFSET('Data Table'!$A756,2,Settings!$G$5+1)),"",OFFSET('Data Table'!$A756,2,Settings!$G$5+1))</f>
        <v/>
      </c>
      <c r="G761">
        <f t="shared" ca="1" si="11"/>
        <v>5</v>
      </c>
      <c r="H761">
        <f ca="1">IF(G761=-888,"",IF(G761=-999,Settings!$G$4,IF(AND($AA$6="Excluded",G761&gt;=Settings!$G$2),"",G761)))</f>
        <v>5</v>
      </c>
      <c r="I761">
        <f ca="1">IF(OR(G761=-999,G761=-888,AND($AA$6="Excluded",G761&gt;=Settings!$G$2)),"",G761)</f>
        <v>5</v>
      </c>
      <c r="O761" s="46"/>
    </row>
    <row r="762" spans="1:15" x14ac:dyDescent="0.2">
      <c r="A762" s="1">
        <v>757</v>
      </c>
      <c r="B762" t="str">
        <f>IF(ISERROR(MATCH(TRIM('Data Table'!D759),Settings!$G$15:$G$20,0)),TRIM('Data Table'!D759),LOOKUP(TRIM('Data Table'!D759),Settings!$G$15:$G$20,Settings!$H$15:$H$20))</f>
        <v>Hyde</v>
      </c>
      <c r="C762" t="str">
        <f>IF('Data Table'!F759="","SS",IF('Data Table'!F759="SF","SD",TRIM('Data Table'!F759)))</f>
        <v>SS</v>
      </c>
      <c r="D762" s="106">
        <f ca="1">IF(ISBLANK(OFFSET('Data Table'!$A757,2,Settings!$G$5-1)),"",OFFSET('Data Table'!$A757,2,Settings!$G$5-1))</f>
        <v>7</v>
      </c>
      <c r="E762" s="106" t="str">
        <f ca="1">IF(ISBLANK(OFFSET('Data Table'!$A757,2,Settings!$G$5)),"",OFFSET('Data Table'!$A757,2,Settings!$G$5))</f>
        <v/>
      </c>
      <c r="F762" s="143" t="str">
        <f ca="1">IF(ISBLANK(OFFSET('Data Table'!$A757,2,Settings!$G$5+1)),"",OFFSET('Data Table'!$A757,2,Settings!$G$5+1))</f>
        <v/>
      </c>
      <c r="G762">
        <f t="shared" ca="1" si="11"/>
        <v>7</v>
      </c>
      <c r="H762">
        <f ca="1">IF(G762=-888,"",IF(G762=-999,Settings!$G$4,IF(AND($AA$6="Excluded",G762&gt;=Settings!$G$2),"",G762)))</f>
        <v>7</v>
      </c>
      <c r="I762">
        <f ca="1">IF(OR(G762=-999,G762=-888,AND($AA$6="Excluded",G762&gt;=Settings!$G$2)),"",G762)</f>
        <v>7</v>
      </c>
      <c r="O762" s="46"/>
    </row>
    <row r="763" spans="1:15" x14ac:dyDescent="0.2">
      <c r="A763" s="1">
        <v>758</v>
      </c>
      <c r="B763" t="str">
        <f>IF(ISERROR(MATCH(TRIM('Data Table'!D760),Settings!$G$15:$G$20,0)),TRIM('Data Table'!D760),LOOKUP(TRIM('Data Table'!D760),Settings!$G$15:$G$20,Settings!$H$15:$H$20))</f>
        <v>Columbus</v>
      </c>
      <c r="C763" t="str">
        <f>IF('Data Table'!F760="","SS",IF('Data Table'!F760="SF","SD",TRIM('Data Table'!F760)))</f>
        <v>SS</v>
      </c>
      <c r="D763" s="106">
        <f ca="1">IF(ISBLANK(OFFSET('Data Table'!$A758,2,Settings!$G$5-1)),"",OFFSET('Data Table'!$A758,2,Settings!$G$5-1))</f>
        <v>11.500999999999999</v>
      </c>
      <c r="E763" s="106" t="str">
        <f ca="1">IF(ISBLANK(OFFSET('Data Table'!$A758,2,Settings!$G$5)),"",OFFSET('Data Table'!$A758,2,Settings!$G$5))</f>
        <v/>
      </c>
      <c r="F763" s="143" t="str">
        <f ca="1">IF(ISBLANK(OFFSET('Data Table'!$A758,2,Settings!$G$5+1)),"",OFFSET('Data Table'!$A758,2,Settings!$G$5+1))</f>
        <v/>
      </c>
      <c r="G763">
        <f t="shared" ca="1" si="11"/>
        <v>11.500999999999999</v>
      </c>
      <c r="H763">
        <f ca="1">IF(G763=-888,"",IF(G763=-999,Settings!$G$4,IF(AND($AA$6="Excluded",G763&gt;=Settings!$G$2),"",G763)))</f>
        <v>11.500999999999999</v>
      </c>
      <c r="I763">
        <f ca="1">IF(OR(G763=-999,G763=-888,AND($AA$6="Excluded",G763&gt;=Settings!$G$2)),"",G763)</f>
        <v>11.500999999999999</v>
      </c>
      <c r="O763" s="46"/>
    </row>
    <row r="764" spans="1:15" x14ac:dyDescent="0.2">
      <c r="A764" s="1">
        <v>759</v>
      </c>
      <c r="B764" t="str">
        <f>IF(ISERROR(MATCH(TRIM('Data Table'!D761),Settings!$G$15:$G$20,0)),TRIM('Data Table'!D761),LOOKUP(TRIM('Data Table'!D761),Settings!$G$15:$G$20,Settings!$H$15:$H$20))</f>
        <v>Columbus</v>
      </c>
      <c r="C764" t="str">
        <f>IF('Data Table'!F761="","SS",IF('Data Table'!F761="SF","SD",TRIM('Data Table'!F761)))</f>
        <v>SB</v>
      </c>
      <c r="D764" s="106">
        <f ca="1">IF(ISBLANK(OFFSET('Data Table'!$A759,2,Settings!$G$5-1)),"",OFFSET('Data Table'!$A759,2,Settings!$G$5-1))</f>
        <v>3.327</v>
      </c>
      <c r="E764" s="106" t="str">
        <f ca="1">IF(ISBLANK(OFFSET('Data Table'!$A759,2,Settings!$G$5)),"",OFFSET('Data Table'!$A759,2,Settings!$G$5))</f>
        <v/>
      </c>
      <c r="F764" s="143" t="str">
        <f ca="1">IF(ISBLANK(OFFSET('Data Table'!$A759,2,Settings!$G$5+1)),"",OFFSET('Data Table'!$A759,2,Settings!$G$5+1))</f>
        <v/>
      </c>
      <c r="G764">
        <f t="shared" ca="1" si="11"/>
        <v>3.327</v>
      </c>
      <c r="H764">
        <f ca="1">IF(G764=-888,"",IF(G764=-999,Settings!$G$4,IF(AND($AA$6="Excluded",G764&gt;=Settings!$G$2),"",G764)))</f>
        <v>3.327</v>
      </c>
      <c r="I764">
        <f ca="1">IF(OR(G764=-999,G764=-888,AND($AA$6="Excluded",G764&gt;=Settings!$G$2)),"",G764)</f>
        <v>3.327</v>
      </c>
      <c r="O764" s="46"/>
    </row>
    <row r="765" spans="1:15" x14ac:dyDescent="0.2">
      <c r="A765" s="1">
        <v>760</v>
      </c>
      <c r="B765" t="str">
        <f>IF(ISERROR(MATCH(TRIM('Data Table'!D762),Settings!$G$15:$G$20,0)),TRIM('Data Table'!D762),LOOKUP(TRIM('Data Table'!D762),Settings!$G$15:$G$20,Settings!$H$15:$H$20))</f>
        <v>Columbus</v>
      </c>
      <c r="C765" t="str">
        <f>IF('Data Table'!F762="","SS",IF('Data Table'!F762="SF","SD",TRIM('Data Table'!F762)))</f>
        <v>SS</v>
      </c>
      <c r="D765" s="106">
        <f ca="1">IF(ISBLANK(OFFSET('Data Table'!$A760,2,Settings!$G$5-1)),"",OFFSET('Data Table'!$A760,2,Settings!$G$5-1))</f>
        <v>300</v>
      </c>
      <c r="E765" s="106" t="str">
        <f ca="1">IF(ISBLANK(OFFSET('Data Table'!$A760,2,Settings!$G$5)),"",OFFSET('Data Table'!$A760,2,Settings!$G$5))</f>
        <v/>
      </c>
      <c r="F765" s="143" t="str">
        <f ca="1">IF(ISBLANK(OFFSET('Data Table'!$A760,2,Settings!$G$5+1)),"",OFFSET('Data Table'!$A760,2,Settings!$G$5+1))</f>
        <v/>
      </c>
      <c r="G765">
        <f t="shared" ca="1" si="11"/>
        <v>300</v>
      </c>
      <c r="H765">
        <f ca="1">IF(G765=-888,"",IF(G765=-999,Settings!$G$4,IF(AND($AA$6="Excluded",G765&gt;=Settings!$G$2),"",G765)))</f>
        <v>300</v>
      </c>
      <c r="I765">
        <f ca="1">IF(OR(G765=-999,G765=-888,AND($AA$6="Excluded",G765&gt;=Settings!$G$2)),"",G765)</f>
        <v>300</v>
      </c>
      <c r="O765" s="46"/>
    </row>
    <row r="766" spans="1:15" x14ac:dyDescent="0.2">
      <c r="A766" s="1">
        <v>761</v>
      </c>
      <c r="B766" t="str">
        <f>IF(ISERROR(MATCH(TRIM('Data Table'!D763),Settings!$G$15:$G$20,0)),TRIM('Data Table'!D763),LOOKUP(TRIM('Data Table'!D763),Settings!$G$15:$G$20,Settings!$H$15:$H$20))</f>
        <v>New Hanover</v>
      </c>
      <c r="C766" t="str">
        <f>IF('Data Table'!F763="","SS",IF('Data Table'!F763="SF","SD",TRIM('Data Table'!F763)))</f>
        <v>SS</v>
      </c>
      <c r="D766" s="106">
        <f ca="1">IF(ISBLANK(OFFSET('Data Table'!$A761,2,Settings!$G$5-1)),"",OFFSET('Data Table'!$A761,2,Settings!$G$5-1))</f>
        <v>1.5</v>
      </c>
      <c r="E766" s="106" t="str">
        <f ca="1">IF(ISBLANK(OFFSET('Data Table'!$A761,2,Settings!$G$5)),"",OFFSET('Data Table'!$A761,2,Settings!$G$5))</f>
        <v/>
      </c>
      <c r="F766" s="143" t="str">
        <f ca="1">IF(ISBLANK(OFFSET('Data Table'!$A761,2,Settings!$G$5+1)),"",OFFSET('Data Table'!$A761,2,Settings!$G$5+1))</f>
        <v/>
      </c>
      <c r="G766">
        <f t="shared" ca="1" si="11"/>
        <v>1.5</v>
      </c>
      <c r="H766">
        <f ca="1">IF(G766=-888,"",IF(G766=-999,Settings!$G$4,IF(AND($AA$6="Excluded",G766&gt;=Settings!$G$2),"",G766)))</f>
        <v>1.5</v>
      </c>
      <c r="I766">
        <f ca="1">IF(OR(G766=-999,G766=-888,AND($AA$6="Excluded",G766&gt;=Settings!$G$2)),"",G766)</f>
        <v>1.5</v>
      </c>
      <c r="O766" s="46"/>
    </row>
    <row r="767" spans="1:15" x14ac:dyDescent="0.2">
      <c r="A767" s="1">
        <v>762</v>
      </c>
      <c r="B767" t="str">
        <f>IF(ISERROR(MATCH(TRIM('Data Table'!D764),Settings!$G$15:$G$20,0)),TRIM('Data Table'!D764),LOOKUP(TRIM('Data Table'!D764),Settings!$G$15:$G$20,Settings!$H$15:$H$20))</f>
        <v>New Hanover</v>
      </c>
      <c r="C767" t="str">
        <f>IF('Data Table'!F764="","SS",IF('Data Table'!F764="SF","SD",TRIM('Data Table'!F764)))</f>
        <v>SS</v>
      </c>
      <c r="D767" s="106">
        <f ca="1">IF(ISBLANK(OFFSET('Data Table'!$A762,2,Settings!$G$5-1)),"",OFFSET('Data Table'!$A762,2,Settings!$G$5-1))</f>
        <v>1.3</v>
      </c>
      <c r="E767" s="106" t="str">
        <f ca="1">IF(ISBLANK(OFFSET('Data Table'!$A762,2,Settings!$G$5)),"",OFFSET('Data Table'!$A762,2,Settings!$G$5))</f>
        <v/>
      </c>
      <c r="F767" s="143" t="str">
        <f ca="1">IF(ISBLANK(OFFSET('Data Table'!$A762,2,Settings!$G$5+1)),"",OFFSET('Data Table'!$A762,2,Settings!$G$5+1))</f>
        <v/>
      </c>
      <c r="G767">
        <f t="shared" ca="1" si="11"/>
        <v>1.3</v>
      </c>
      <c r="H767">
        <f ca="1">IF(G767=-888,"",IF(G767=-999,Settings!$G$4,IF(AND($AA$6="Excluded",G767&gt;=Settings!$G$2),"",G767)))</f>
        <v>1.3</v>
      </c>
      <c r="I767">
        <f ca="1">IF(OR(G767=-999,G767=-888,AND($AA$6="Excluded",G767&gt;=Settings!$G$2)),"",G767)</f>
        <v>1.3</v>
      </c>
      <c r="O767" s="46"/>
    </row>
    <row r="768" spans="1:15" x14ac:dyDescent="0.2">
      <c r="A768" s="1">
        <v>763</v>
      </c>
      <c r="B768" t="str">
        <f>IF(ISERROR(MATCH(TRIM('Data Table'!D765),Settings!$G$15:$G$20,0)),TRIM('Data Table'!D765),LOOKUP(TRIM('Data Table'!D765),Settings!$G$15:$G$20,Settings!$H$15:$H$20))</f>
        <v>New Hanover</v>
      </c>
      <c r="C768" t="str">
        <f>IF('Data Table'!F765="","SS",IF('Data Table'!F765="SF","SD",TRIM('Data Table'!F765)))</f>
        <v>SS</v>
      </c>
      <c r="D768" s="106">
        <f ca="1">IF(ISBLANK(OFFSET('Data Table'!$A763,2,Settings!$G$5-1)),"",OFFSET('Data Table'!$A763,2,Settings!$G$5-1))</f>
        <v>42</v>
      </c>
      <c r="E768" s="106" t="str">
        <f ca="1">IF(ISBLANK(OFFSET('Data Table'!$A763,2,Settings!$G$5)),"",OFFSET('Data Table'!$A763,2,Settings!$G$5))</f>
        <v/>
      </c>
      <c r="F768" s="143" t="str">
        <f ca="1">IF(ISBLANK(OFFSET('Data Table'!$A763,2,Settings!$G$5+1)),"",OFFSET('Data Table'!$A763,2,Settings!$G$5+1))</f>
        <v/>
      </c>
      <c r="G768">
        <f t="shared" ca="1" si="11"/>
        <v>42</v>
      </c>
      <c r="H768">
        <f ca="1">IF(G768=-888,"",IF(G768=-999,Settings!$G$4,IF(AND($AA$6="Excluded",G768&gt;=Settings!$G$2),"",G768)))</f>
        <v>42</v>
      </c>
      <c r="I768">
        <f ca="1">IF(OR(G768=-999,G768=-888,AND($AA$6="Excluded",G768&gt;=Settings!$G$2)),"",G768)</f>
        <v>42</v>
      </c>
      <c r="O768" s="46"/>
    </row>
    <row r="769" spans="1:15" x14ac:dyDescent="0.2">
      <c r="A769" s="1">
        <v>764</v>
      </c>
      <c r="B769" t="str">
        <f>IF(ISERROR(MATCH(TRIM('Data Table'!D766),Settings!$G$15:$G$20,0)),TRIM('Data Table'!D766),LOOKUP(TRIM('Data Table'!D766),Settings!$G$15:$G$20,Settings!$H$15:$H$20))</f>
        <v>Anson</v>
      </c>
      <c r="C769" t="str">
        <f>IF('Data Table'!F766="","SS",IF('Data Table'!F766="SF","SD",TRIM('Data Table'!F766)))</f>
        <v>SB</v>
      </c>
      <c r="D769" s="106" t="str">
        <f ca="1">IF(ISBLANK(OFFSET('Data Table'!$A764,2,Settings!$G$5-1)),"",OFFSET('Data Table'!$A764,2,Settings!$G$5-1))</f>
        <v>#</v>
      </c>
      <c r="E769" s="106" t="str">
        <f ca="1">IF(ISBLANK(OFFSET('Data Table'!$A764,2,Settings!$G$5)),"",OFFSET('Data Table'!$A764,2,Settings!$G$5))</f>
        <v/>
      </c>
      <c r="F769" s="143" t="str">
        <f ca="1">IF(ISBLANK(OFFSET('Data Table'!$A764,2,Settings!$G$5+1)),"",OFFSET('Data Table'!$A764,2,Settings!$G$5+1))</f>
        <v/>
      </c>
      <c r="G769">
        <f t="shared" ca="1" si="11"/>
        <v>-999</v>
      </c>
      <c r="H769">
        <f ca="1">IF(G769=-888,"",IF(G769=-999,Settings!$G$4,IF(AND($AA$6="Excluded",G769&gt;=Settings!$G$2),"",G769)))</f>
        <v>5.0000000000000001E-3</v>
      </c>
      <c r="I769" t="str">
        <f ca="1">IF(OR(G769=-999,G769=-888,AND($AA$6="Excluded",G769&gt;=Settings!$G$2)),"",G769)</f>
        <v/>
      </c>
      <c r="O769" s="46"/>
    </row>
    <row r="770" spans="1:15" x14ac:dyDescent="0.2">
      <c r="A770" s="1">
        <v>765</v>
      </c>
      <c r="B770" t="str">
        <f>IF(ISERROR(MATCH(TRIM('Data Table'!D767),Settings!$G$15:$G$20,0)),TRIM('Data Table'!D767),LOOKUP(TRIM('Data Table'!D767),Settings!$G$15:$G$20,Settings!$H$15:$H$20))</f>
        <v>Anson</v>
      </c>
      <c r="C770" t="str">
        <f>IF('Data Table'!F767="","SS",IF('Data Table'!F767="SF","SD",TRIM('Data Table'!F767)))</f>
        <v>SB</v>
      </c>
      <c r="D770" s="106" t="str">
        <f ca="1">IF(ISBLANK(OFFSET('Data Table'!$A765,2,Settings!$G$5-1)),"",OFFSET('Data Table'!$A765,2,Settings!$G$5-1))</f>
        <v>#</v>
      </c>
      <c r="E770" s="106" t="str">
        <f ca="1">IF(ISBLANK(OFFSET('Data Table'!$A765,2,Settings!$G$5)),"",OFFSET('Data Table'!$A765,2,Settings!$G$5))</f>
        <v/>
      </c>
      <c r="F770" s="143" t="str">
        <f ca="1">IF(ISBLANK(OFFSET('Data Table'!$A765,2,Settings!$G$5+1)),"",OFFSET('Data Table'!$A765,2,Settings!$G$5+1))</f>
        <v/>
      </c>
      <c r="G770">
        <f t="shared" ca="1" si="11"/>
        <v>-999</v>
      </c>
      <c r="H770">
        <f ca="1">IF(G770=-888,"",IF(G770=-999,Settings!$G$4,IF(AND($AA$6="Excluded",G770&gt;=Settings!$G$2),"",G770)))</f>
        <v>5.0000000000000001E-3</v>
      </c>
      <c r="I770" t="str">
        <f ca="1">IF(OR(G770=-999,G770=-888,AND($AA$6="Excluded",G770&gt;=Settings!$G$2)),"",G770)</f>
        <v/>
      </c>
      <c r="O770" s="46"/>
    </row>
    <row r="771" spans="1:15" x14ac:dyDescent="0.2">
      <c r="A771" s="1">
        <v>766</v>
      </c>
      <c r="B771" t="str">
        <f>IF(ISERROR(MATCH(TRIM('Data Table'!D768),Settings!$G$15:$G$20,0)),TRIM('Data Table'!D768),LOOKUP(TRIM('Data Table'!D768),Settings!$G$15:$G$20,Settings!$H$15:$H$20))</f>
        <v>Anson</v>
      </c>
      <c r="C771" t="str">
        <f>IF('Data Table'!F768="","SS",IF('Data Table'!F768="SF","SD",TRIM('Data Table'!F768)))</f>
        <v>SB</v>
      </c>
      <c r="D771" s="106" t="str">
        <f ca="1">IF(ISBLANK(OFFSET('Data Table'!$A766,2,Settings!$G$5-1)),"",OFFSET('Data Table'!$A766,2,Settings!$G$5-1))</f>
        <v>#</v>
      </c>
      <c r="E771" s="106" t="str">
        <f ca="1">IF(ISBLANK(OFFSET('Data Table'!$A766,2,Settings!$G$5)),"",OFFSET('Data Table'!$A766,2,Settings!$G$5))</f>
        <v/>
      </c>
      <c r="F771" s="143" t="str">
        <f ca="1">IF(ISBLANK(OFFSET('Data Table'!$A766,2,Settings!$G$5+1)),"",OFFSET('Data Table'!$A766,2,Settings!$G$5+1))</f>
        <v/>
      </c>
      <c r="G771">
        <f t="shared" ca="1" si="11"/>
        <v>-999</v>
      </c>
      <c r="H771">
        <f ca="1">IF(G771=-888,"",IF(G771=-999,Settings!$G$4,IF(AND($AA$6="Excluded",G771&gt;=Settings!$G$2),"",G771)))</f>
        <v>5.0000000000000001E-3</v>
      </c>
      <c r="I771" t="str">
        <f ca="1">IF(OR(G771=-999,G771=-888,AND($AA$6="Excluded",G771&gt;=Settings!$G$2)),"",G771)</f>
        <v/>
      </c>
      <c r="O771" s="46"/>
    </row>
    <row r="772" spans="1:15" x14ac:dyDescent="0.2">
      <c r="A772" s="1">
        <v>767</v>
      </c>
      <c r="B772" t="str">
        <f>IF(ISERROR(MATCH(TRIM('Data Table'!D769),Settings!$G$15:$G$20,0)),TRIM('Data Table'!D769),LOOKUP(TRIM('Data Table'!D769),Settings!$G$15:$G$20,Settings!$H$15:$H$20))</f>
        <v>Anson</v>
      </c>
      <c r="C772" t="str">
        <f>IF('Data Table'!F769="","SS",IF('Data Table'!F769="SF","SD",TRIM('Data Table'!F769)))</f>
        <v>SB</v>
      </c>
      <c r="D772" s="106" t="str">
        <f ca="1">IF(ISBLANK(OFFSET('Data Table'!$A767,2,Settings!$G$5-1)),"",OFFSET('Data Table'!$A767,2,Settings!$G$5-1))</f>
        <v>#</v>
      </c>
      <c r="E772" s="106" t="str">
        <f ca="1">IF(ISBLANK(OFFSET('Data Table'!$A767,2,Settings!$G$5)),"",OFFSET('Data Table'!$A767,2,Settings!$G$5))</f>
        <v/>
      </c>
      <c r="F772" s="143" t="str">
        <f ca="1">IF(ISBLANK(OFFSET('Data Table'!$A767,2,Settings!$G$5+1)),"",OFFSET('Data Table'!$A767,2,Settings!$G$5+1))</f>
        <v/>
      </c>
      <c r="G772">
        <f t="shared" ca="1" si="11"/>
        <v>-999</v>
      </c>
      <c r="H772">
        <f ca="1">IF(G772=-888,"",IF(G772=-999,Settings!$G$4,IF(AND($AA$6="Excluded",G772&gt;=Settings!$G$2),"",G772)))</f>
        <v>5.0000000000000001E-3</v>
      </c>
      <c r="I772" t="str">
        <f ca="1">IF(OR(G772=-999,G772=-888,AND($AA$6="Excluded",G772&gt;=Settings!$G$2)),"",G772)</f>
        <v/>
      </c>
      <c r="O772" s="46"/>
    </row>
    <row r="773" spans="1:15" x14ac:dyDescent="0.2">
      <c r="A773" s="1">
        <v>768</v>
      </c>
      <c r="B773" t="str">
        <f>IF(ISERROR(MATCH(TRIM('Data Table'!D770),Settings!$G$15:$G$20,0)),TRIM('Data Table'!D770),LOOKUP(TRIM('Data Table'!D770),Settings!$G$15:$G$20,Settings!$H$15:$H$20))</f>
        <v>Anson</v>
      </c>
      <c r="C773" t="str">
        <f>IF('Data Table'!F770="","SS",IF('Data Table'!F770="SF","SD",TRIM('Data Table'!F770)))</f>
        <v>SB</v>
      </c>
      <c r="D773" s="106" t="str">
        <f ca="1">IF(ISBLANK(OFFSET('Data Table'!$A768,2,Settings!$G$5-1)),"",OFFSET('Data Table'!$A768,2,Settings!$G$5-1))</f>
        <v>#</v>
      </c>
      <c r="E773" s="106" t="str">
        <f ca="1">IF(ISBLANK(OFFSET('Data Table'!$A768,2,Settings!$G$5)),"",OFFSET('Data Table'!$A768,2,Settings!$G$5))</f>
        <v/>
      </c>
      <c r="F773" s="143" t="str">
        <f ca="1">IF(ISBLANK(OFFSET('Data Table'!$A768,2,Settings!$G$5+1)),"",OFFSET('Data Table'!$A768,2,Settings!$G$5+1))</f>
        <v/>
      </c>
      <c r="G773">
        <f t="shared" ca="1" si="11"/>
        <v>-999</v>
      </c>
      <c r="H773">
        <f ca="1">IF(G773=-888,"",IF(G773=-999,Settings!$G$4,IF(AND($AA$6="Excluded",G773&gt;=Settings!$G$2),"",G773)))</f>
        <v>5.0000000000000001E-3</v>
      </c>
      <c r="I773" t="str">
        <f ca="1">IF(OR(G773=-999,G773=-888,AND($AA$6="Excluded",G773&gt;=Settings!$G$2)),"",G773)</f>
        <v/>
      </c>
      <c r="O773" s="46"/>
    </row>
    <row r="774" spans="1:15" x14ac:dyDescent="0.2">
      <c r="A774" s="1">
        <v>769</v>
      </c>
      <c r="B774" t="str">
        <f>IF(ISERROR(MATCH(TRIM('Data Table'!D771),Settings!$G$15:$G$20,0)),TRIM('Data Table'!D771),LOOKUP(TRIM('Data Table'!D771),Settings!$G$15:$G$20,Settings!$H$15:$H$20))</f>
        <v>Anson</v>
      </c>
      <c r="C774" t="str">
        <f>IF('Data Table'!F771="","SS",IF('Data Table'!F771="SF","SD",TRIM('Data Table'!F771)))</f>
        <v>SB</v>
      </c>
      <c r="D774" s="106" t="str">
        <f ca="1">IF(ISBLANK(OFFSET('Data Table'!$A769,2,Settings!$G$5-1)),"",OFFSET('Data Table'!$A769,2,Settings!$G$5-1))</f>
        <v>#</v>
      </c>
      <c r="E774" s="106" t="str">
        <f ca="1">IF(ISBLANK(OFFSET('Data Table'!$A769,2,Settings!$G$5)),"",OFFSET('Data Table'!$A769,2,Settings!$G$5))</f>
        <v/>
      </c>
      <c r="F774" s="143" t="str">
        <f ca="1">IF(ISBLANK(OFFSET('Data Table'!$A769,2,Settings!$G$5+1)),"",OFFSET('Data Table'!$A769,2,Settings!$G$5+1))</f>
        <v/>
      </c>
      <c r="G774">
        <f t="shared" ref="G774:G837" ca="1" si="12">IF(COUNTIF(SOIL_DEPTH,C774)=0,"",IF(OR(D774="#",E774="#",F774="#"),-999,IF(AND(D774="",E774="",F774=""),-888,IF(COUNT(D774:F774)&gt;1,"ERROR",MAX(D774:F774)))))</f>
        <v>-999</v>
      </c>
      <c r="H774">
        <f ca="1">IF(G774=-888,"",IF(G774=-999,Settings!$G$4,IF(AND($AA$6="Excluded",G774&gt;=Settings!$G$2),"",G774)))</f>
        <v>5.0000000000000001E-3</v>
      </c>
      <c r="I774" t="str">
        <f ca="1">IF(OR(G774=-999,G774=-888,AND($AA$6="Excluded",G774&gt;=Settings!$G$2)),"",G774)</f>
        <v/>
      </c>
      <c r="O774" s="46"/>
    </row>
    <row r="775" spans="1:15" x14ac:dyDescent="0.2">
      <c r="A775" s="1">
        <v>770</v>
      </c>
      <c r="B775" t="str">
        <f>IF(ISERROR(MATCH(TRIM('Data Table'!D772),Settings!$G$15:$G$20,0)),TRIM('Data Table'!D772),LOOKUP(TRIM('Data Table'!D772),Settings!$G$15:$G$20,Settings!$H$15:$H$20))</f>
        <v>Forsyth</v>
      </c>
      <c r="C775" t="str">
        <f>IF('Data Table'!F772="","SS",IF('Data Table'!F772="SF","SD",TRIM('Data Table'!F772)))</f>
        <v>SB</v>
      </c>
      <c r="D775" s="106">
        <f ca="1">IF(ISBLANK(OFFSET('Data Table'!$A770,2,Settings!$G$5-1)),"",OFFSET('Data Table'!$A770,2,Settings!$G$5-1))</f>
        <v>9.3000000000000007</v>
      </c>
      <c r="E775" s="106" t="str">
        <f ca="1">IF(ISBLANK(OFFSET('Data Table'!$A770,2,Settings!$G$5)),"",OFFSET('Data Table'!$A770,2,Settings!$G$5))</f>
        <v/>
      </c>
      <c r="F775" s="143" t="str">
        <f ca="1">IF(ISBLANK(OFFSET('Data Table'!$A770,2,Settings!$G$5+1)),"",OFFSET('Data Table'!$A770,2,Settings!$G$5+1))</f>
        <v/>
      </c>
      <c r="G775">
        <f t="shared" ca="1" si="12"/>
        <v>9.3000000000000007</v>
      </c>
      <c r="H775">
        <f ca="1">IF(G775=-888,"",IF(G775=-999,Settings!$G$4,IF(AND($AA$6="Excluded",G775&gt;=Settings!$G$2),"",G775)))</f>
        <v>9.3000000000000007</v>
      </c>
      <c r="I775">
        <f ca="1">IF(OR(G775=-999,G775=-888,AND($AA$6="Excluded",G775&gt;=Settings!$G$2)),"",G775)</f>
        <v>9.3000000000000007</v>
      </c>
      <c r="O775" s="46"/>
    </row>
    <row r="776" spans="1:15" x14ac:dyDescent="0.2">
      <c r="A776" s="1">
        <v>771</v>
      </c>
      <c r="B776" t="str">
        <f>IF(ISERROR(MATCH(TRIM('Data Table'!D773),Settings!$G$15:$G$20,0)),TRIM('Data Table'!D773),LOOKUP(TRIM('Data Table'!D773),Settings!$G$15:$G$20,Settings!$H$15:$H$20))</f>
        <v>Forsyth</v>
      </c>
      <c r="C776" t="str">
        <f>IF('Data Table'!F773="","SS",IF('Data Table'!F773="SF","SD",TRIM('Data Table'!F773)))</f>
        <v>SB</v>
      </c>
      <c r="D776" s="106">
        <f ca="1">IF(ISBLANK(OFFSET('Data Table'!$A771,2,Settings!$G$5-1)),"",OFFSET('Data Table'!$A771,2,Settings!$G$5-1))</f>
        <v>18</v>
      </c>
      <c r="E776" s="106" t="str">
        <f ca="1">IF(ISBLANK(OFFSET('Data Table'!$A771,2,Settings!$G$5)),"",OFFSET('Data Table'!$A771,2,Settings!$G$5))</f>
        <v/>
      </c>
      <c r="F776" s="143" t="str">
        <f ca="1">IF(ISBLANK(OFFSET('Data Table'!$A771,2,Settings!$G$5+1)),"",OFFSET('Data Table'!$A771,2,Settings!$G$5+1))</f>
        <v/>
      </c>
      <c r="G776">
        <f t="shared" ca="1" si="12"/>
        <v>18</v>
      </c>
      <c r="H776">
        <f ca="1">IF(G776=-888,"",IF(G776=-999,Settings!$G$4,IF(AND($AA$6="Excluded",G776&gt;=Settings!$G$2),"",G776)))</f>
        <v>18</v>
      </c>
      <c r="I776">
        <f ca="1">IF(OR(G776=-999,G776=-888,AND($AA$6="Excluded",G776&gt;=Settings!$G$2)),"",G776)</f>
        <v>18</v>
      </c>
      <c r="O776" s="46"/>
    </row>
    <row r="777" spans="1:15" x14ac:dyDescent="0.2">
      <c r="A777" s="1">
        <v>772</v>
      </c>
      <c r="B777" t="str">
        <f>IF(ISERROR(MATCH(TRIM('Data Table'!D774),Settings!$G$15:$G$20,0)),TRIM('Data Table'!D774),LOOKUP(TRIM('Data Table'!D774),Settings!$G$15:$G$20,Settings!$H$15:$H$20))</f>
        <v>Forsyth</v>
      </c>
      <c r="C777" t="str">
        <f>IF('Data Table'!F774="","SS",IF('Data Table'!F774="SF","SD",TRIM('Data Table'!F774)))</f>
        <v>SB</v>
      </c>
      <c r="D777" s="106">
        <f ca="1">IF(ISBLANK(OFFSET('Data Table'!$A772,2,Settings!$G$5-1)),"",OFFSET('Data Table'!$A772,2,Settings!$G$5-1))</f>
        <v>15</v>
      </c>
      <c r="E777" s="106" t="str">
        <f ca="1">IF(ISBLANK(OFFSET('Data Table'!$A772,2,Settings!$G$5)),"",OFFSET('Data Table'!$A772,2,Settings!$G$5))</f>
        <v/>
      </c>
      <c r="F777" s="143" t="str">
        <f ca="1">IF(ISBLANK(OFFSET('Data Table'!$A772,2,Settings!$G$5+1)),"",OFFSET('Data Table'!$A772,2,Settings!$G$5+1))</f>
        <v/>
      </c>
      <c r="G777">
        <f t="shared" ca="1" si="12"/>
        <v>15</v>
      </c>
      <c r="H777">
        <f ca="1">IF(G777=-888,"",IF(G777=-999,Settings!$G$4,IF(AND($AA$6="Excluded",G777&gt;=Settings!$G$2),"",G777)))</f>
        <v>15</v>
      </c>
      <c r="I777">
        <f ca="1">IF(OR(G777=-999,G777=-888,AND($AA$6="Excluded",G777&gt;=Settings!$G$2)),"",G777)</f>
        <v>15</v>
      </c>
      <c r="O777" s="46"/>
    </row>
    <row r="778" spans="1:15" x14ac:dyDescent="0.2">
      <c r="A778" s="1">
        <v>773</v>
      </c>
      <c r="B778" t="str">
        <f>IF(ISERROR(MATCH(TRIM('Data Table'!D775),Settings!$G$15:$G$20,0)),TRIM('Data Table'!D775),LOOKUP(TRIM('Data Table'!D775),Settings!$G$15:$G$20,Settings!$H$15:$H$20))</f>
        <v>Forsyth</v>
      </c>
      <c r="C778" t="str">
        <f>IF('Data Table'!F775="","SS",IF('Data Table'!F775="SF","SD",TRIM('Data Table'!F775)))</f>
        <v>SB</v>
      </c>
      <c r="D778" s="106">
        <f ca="1">IF(ISBLANK(OFFSET('Data Table'!$A773,2,Settings!$G$5-1)),"",OFFSET('Data Table'!$A773,2,Settings!$G$5-1))</f>
        <v>27</v>
      </c>
      <c r="E778" s="106" t="str">
        <f ca="1">IF(ISBLANK(OFFSET('Data Table'!$A773,2,Settings!$G$5)),"",OFFSET('Data Table'!$A773,2,Settings!$G$5))</f>
        <v/>
      </c>
      <c r="F778" s="143" t="str">
        <f ca="1">IF(ISBLANK(OFFSET('Data Table'!$A773,2,Settings!$G$5+1)),"",OFFSET('Data Table'!$A773,2,Settings!$G$5+1))</f>
        <v/>
      </c>
      <c r="G778">
        <f t="shared" ca="1" si="12"/>
        <v>27</v>
      </c>
      <c r="H778">
        <f ca="1">IF(G778=-888,"",IF(G778=-999,Settings!$G$4,IF(AND($AA$6="Excluded",G778&gt;=Settings!$G$2),"",G778)))</f>
        <v>27</v>
      </c>
      <c r="I778">
        <f ca="1">IF(OR(G778=-999,G778=-888,AND($AA$6="Excluded",G778&gt;=Settings!$G$2)),"",G778)</f>
        <v>27</v>
      </c>
      <c r="O778" s="46"/>
    </row>
    <row r="779" spans="1:15" x14ac:dyDescent="0.2">
      <c r="A779" s="1">
        <v>774</v>
      </c>
      <c r="B779" t="str">
        <f>IF(ISERROR(MATCH(TRIM('Data Table'!D776),Settings!$G$15:$G$20,0)),TRIM('Data Table'!D776),LOOKUP(TRIM('Data Table'!D776),Settings!$G$15:$G$20,Settings!$H$15:$H$20))</f>
        <v>Forsyth</v>
      </c>
      <c r="C779" t="str">
        <f>IF('Data Table'!F776="","SS",IF('Data Table'!F776="SF","SD",TRIM('Data Table'!F776)))</f>
        <v>SB</v>
      </c>
      <c r="D779" s="106">
        <f ca="1">IF(ISBLANK(OFFSET('Data Table'!$A774,2,Settings!$G$5-1)),"",OFFSET('Data Table'!$A774,2,Settings!$G$5-1))</f>
        <v>21</v>
      </c>
      <c r="E779" s="106" t="str">
        <f ca="1">IF(ISBLANK(OFFSET('Data Table'!$A774,2,Settings!$G$5)),"",OFFSET('Data Table'!$A774,2,Settings!$G$5))</f>
        <v/>
      </c>
      <c r="F779" s="143" t="str">
        <f ca="1">IF(ISBLANK(OFFSET('Data Table'!$A774,2,Settings!$G$5+1)),"",OFFSET('Data Table'!$A774,2,Settings!$G$5+1))</f>
        <v/>
      </c>
      <c r="G779">
        <f t="shared" ca="1" si="12"/>
        <v>21</v>
      </c>
      <c r="H779">
        <f ca="1">IF(G779=-888,"",IF(G779=-999,Settings!$G$4,IF(AND($AA$6="Excluded",G779&gt;=Settings!$G$2),"",G779)))</f>
        <v>21</v>
      </c>
      <c r="I779">
        <f ca="1">IF(OR(G779=-999,G779=-888,AND($AA$6="Excluded",G779&gt;=Settings!$G$2)),"",G779)</f>
        <v>21</v>
      </c>
      <c r="O779" s="46"/>
    </row>
    <row r="780" spans="1:15" x14ac:dyDescent="0.2">
      <c r="A780" s="1">
        <v>775</v>
      </c>
      <c r="B780" t="str">
        <f>IF(ISERROR(MATCH(TRIM('Data Table'!D777),Settings!$G$15:$G$20,0)),TRIM('Data Table'!D777),LOOKUP(TRIM('Data Table'!D777),Settings!$G$15:$G$20,Settings!$H$15:$H$20))</f>
        <v>Forsyth</v>
      </c>
      <c r="C780" t="str">
        <f>IF('Data Table'!F777="","SS",IF('Data Table'!F777="SF","SD",TRIM('Data Table'!F777)))</f>
        <v>SB</v>
      </c>
      <c r="D780" s="106">
        <f ca="1">IF(ISBLANK(OFFSET('Data Table'!$A775,2,Settings!$G$5-1)),"",OFFSET('Data Table'!$A775,2,Settings!$G$5-1))</f>
        <v>25</v>
      </c>
      <c r="E780" s="106" t="str">
        <f ca="1">IF(ISBLANK(OFFSET('Data Table'!$A775,2,Settings!$G$5)),"",OFFSET('Data Table'!$A775,2,Settings!$G$5))</f>
        <v/>
      </c>
      <c r="F780" s="143" t="str">
        <f ca="1">IF(ISBLANK(OFFSET('Data Table'!$A775,2,Settings!$G$5+1)),"",OFFSET('Data Table'!$A775,2,Settings!$G$5+1))</f>
        <v/>
      </c>
      <c r="G780">
        <f t="shared" ca="1" si="12"/>
        <v>25</v>
      </c>
      <c r="H780">
        <f ca="1">IF(G780=-888,"",IF(G780=-999,Settings!$G$4,IF(AND($AA$6="Excluded",G780&gt;=Settings!$G$2),"",G780)))</f>
        <v>25</v>
      </c>
      <c r="I780">
        <f ca="1">IF(OR(G780=-999,G780=-888,AND($AA$6="Excluded",G780&gt;=Settings!$G$2)),"",G780)</f>
        <v>25</v>
      </c>
      <c r="O780" s="46"/>
    </row>
    <row r="781" spans="1:15" x14ac:dyDescent="0.2">
      <c r="A781" s="1">
        <v>776</v>
      </c>
      <c r="B781" t="str">
        <f>IF(ISERROR(MATCH(TRIM('Data Table'!D778),Settings!$G$15:$G$20,0)),TRIM('Data Table'!D778),LOOKUP(TRIM('Data Table'!D778),Settings!$G$15:$G$20,Settings!$H$15:$H$20))</f>
        <v>Forsyth</v>
      </c>
      <c r="C781" t="str">
        <f>IF('Data Table'!F778="","SS",IF('Data Table'!F778="SF","SD",TRIM('Data Table'!F778)))</f>
        <v>SB</v>
      </c>
      <c r="D781" s="106">
        <f ca="1">IF(ISBLANK(OFFSET('Data Table'!$A776,2,Settings!$G$5-1)),"",OFFSET('Data Table'!$A776,2,Settings!$G$5-1))</f>
        <v>16</v>
      </c>
      <c r="E781" s="106" t="str">
        <f ca="1">IF(ISBLANK(OFFSET('Data Table'!$A776,2,Settings!$G$5)),"",OFFSET('Data Table'!$A776,2,Settings!$G$5))</f>
        <v/>
      </c>
      <c r="F781" s="143" t="str">
        <f ca="1">IF(ISBLANK(OFFSET('Data Table'!$A776,2,Settings!$G$5+1)),"",OFFSET('Data Table'!$A776,2,Settings!$G$5+1))</f>
        <v/>
      </c>
      <c r="G781">
        <f t="shared" ca="1" si="12"/>
        <v>16</v>
      </c>
      <c r="H781">
        <f ca="1">IF(G781=-888,"",IF(G781=-999,Settings!$G$4,IF(AND($AA$6="Excluded",G781&gt;=Settings!$G$2),"",G781)))</f>
        <v>16</v>
      </c>
      <c r="I781">
        <f ca="1">IF(OR(G781=-999,G781=-888,AND($AA$6="Excluded",G781&gt;=Settings!$G$2)),"",G781)</f>
        <v>16</v>
      </c>
      <c r="O781" s="46"/>
    </row>
    <row r="782" spans="1:15" x14ac:dyDescent="0.2">
      <c r="A782" s="1">
        <v>777</v>
      </c>
      <c r="B782" t="str">
        <f>IF(ISERROR(MATCH(TRIM('Data Table'!D779),Settings!$G$15:$G$20,0)),TRIM('Data Table'!D779),LOOKUP(TRIM('Data Table'!D779),Settings!$G$15:$G$20,Settings!$H$15:$H$20))</f>
        <v>Forsyth</v>
      </c>
      <c r="C782" t="str">
        <f>IF('Data Table'!F779="","SS",IF('Data Table'!F779="SF","SD",TRIM('Data Table'!F779)))</f>
        <v>SB</v>
      </c>
      <c r="D782" s="106">
        <f ca="1">IF(ISBLANK(OFFSET('Data Table'!$A777,2,Settings!$G$5-1)),"",OFFSET('Data Table'!$A777,2,Settings!$G$5-1))</f>
        <v>18</v>
      </c>
      <c r="E782" s="106" t="str">
        <f ca="1">IF(ISBLANK(OFFSET('Data Table'!$A777,2,Settings!$G$5)),"",OFFSET('Data Table'!$A777,2,Settings!$G$5))</f>
        <v/>
      </c>
      <c r="F782" s="143" t="str">
        <f ca="1">IF(ISBLANK(OFFSET('Data Table'!$A777,2,Settings!$G$5+1)),"",OFFSET('Data Table'!$A777,2,Settings!$G$5+1))</f>
        <v/>
      </c>
      <c r="G782">
        <f t="shared" ca="1" si="12"/>
        <v>18</v>
      </c>
      <c r="H782">
        <f ca="1">IF(G782=-888,"",IF(G782=-999,Settings!$G$4,IF(AND($AA$6="Excluded",G782&gt;=Settings!$G$2),"",G782)))</f>
        <v>18</v>
      </c>
      <c r="I782">
        <f ca="1">IF(OR(G782=-999,G782=-888,AND($AA$6="Excluded",G782&gt;=Settings!$G$2)),"",G782)</f>
        <v>18</v>
      </c>
      <c r="O782" s="46"/>
    </row>
    <row r="783" spans="1:15" x14ac:dyDescent="0.2">
      <c r="A783" s="1">
        <v>778</v>
      </c>
      <c r="B783" t="str">
        <f>IF(ISERROR(MATCH(TRIM('Data Table'!D780),Settings!$G$15:$G$20,0)),TRIM('Data Table'!D780),LOOKUP(TRIM('Data Table'!D780),Settings!$G$15:$G$20,Settings!$H$15:$H$20))</f>
        <v>Forsyth</v>
      </c>
      <c r="C783" t="str">
        <f>IF('Data Table'!F780="","SS",IF('Data Table'!F780="SF","SD",TRIM('Data Table'!F780)))</f>
        <v>SB</v>
      </c>
      <c r="D783" s="106">
        <f ca="1">IF(ISBLANK(OFFSET('Data Table'!$A778,2,Settings!$G$5-1)),"",OFFSET('Data Table'!$A778,2,Settings!$G$5-1))</f>
        <v>19</v>
      </c>
      <c r="E783" s="106" t="str">
        <f ca="1">IF(ISBLANK(OFFSET('Data Table'!$A778,2,Settings!$G$5)),"",OFFSET('Data Table'!$A778,2,Settings!$G$5))</f>
        <v/>
      </c>
      <c r="F783" s="143" t="str">
        <f ca="1">IF(ISBLANK(OFFSET('Data Table'!$A778,2,Settings!$G$5+1)),"",OFFSET('Data Table'!$A778,2,Settings!$G$5+1))</f>
        <v/>
      </c>
      <c r="G783">
        <f t="shared" ca="1" si="12"/>
        <v>19</v>
      </c>
      <c r="H783">
        <f ca="1">IF(G783=-888,"",IF(G783=-999,Settings!$G$4,IF(AND($AA$6="Excluded",G783&gt;=Settings!$G$2),"",G783)))</f>
        <v>19</v>
      </c>
      <c r="I783">
        <f ca="1">IF(OR(G783=-999,G783=-888,AND($AA$6="Excluded",G783&gt;=Settings!$G$2)),"",G783)</f>
        <v>19</v>
      </c>
      <c r="O783" s="46"/>
    </row>
    <row r="784" spans="1:15" x14ac:dyDescent="0.2">
      <c r="A784" s="1">
        <v>779</v>
      </c>
      <c r="B784" t="str">
        <f>IF(ISERROR(MATCH(TRIM('Data Table'!D781),Settings!$G$15:$G$20,0)),TRIM('Data Table'!D781),LOOKUP(TRIM('Data Table'!D781),Settings!$G$15:$G$20,Settings!$H$15:$H$20))</f>
        <v>Forsyth</v>
      </c>
      <c r="C784" t="str">
        <f>IF('Data Table'!F781="","SS",IF('Data Table'!F781="SF","SD",TRIM('Data Table'!F781)))</f>
        <v>SB</v>
      </c>
      <c r="D784" s="106">
        <f ca="1">IF(ISBLANK(OFFSET('Data Table'!$A779,2,Settings!$G$5-1)),"",OFFSET('Data Table'!$A779,2,Settings!$G$5-1))</f>
        <v>30</v>
      </c>
      <c r="E784" s="106" t="str">
        <f ca="1">IF(ISBLANK(OFFSET('Data Table'!$A779,2,Settings!$G$5)),"",OFFSET('Data Table'!$A779,2,Settings!$G$5))</f>
        <v/>
      </c>
      <c r="F784" s="143" t="str">
        <f ca="1">IF(ISBLANK(OFFSET('Data Table'!$A779,2,Settings!$G$5+1)),"",OFFSET('Data Table'!$A779,2,Settings!$G$5+1))</f>
        <v/>
      </c>
      <c r="G784">
        <f t="shared" ca="1" si="12"/>
        <v>30</v>
      </c>
      <c r="H784">
        <f ca="1">IF(G784=-888,"",IF(G784=-999,Settings!$G$4,IF(AND($AA$6="Excluded",G784&gt;=Settings!$G$2),"",G784)))</f>
        <v>30</v>
      </c>
      <c r="I784">
        <f ca="1">IF(OR(G784=-999,G784=-888,AND($AA$6="Excluded",G784&gt;=Settings!$G$2)),"",G784)</f>
        <v>30</v>
      </c>
      <c r="O784" s="46"/>
    </row>
    <row r="785" spans="1:15" x14ac:dyDescent="0.2">
      <c r="A785" s="1">
        <v>780</v>
      </c>
      <c r="B785" t="str">
        <f>IF(ISERROR(MATCH(TRIM('Data Table'!D782),Settings!$G$15:$G$20,0)),TRIM('Data Table'!D782),LOOKUP(TRIM('Data Table'!D782),Settings!$G$15:$G$20,Settings!$H$15:$H$20))</f>
        <v>Wake</v>
      </c>
      <c r="C785" t="str">
        <f>IF('Data Table'!F782="","SS",IF('Data Table'!F782="SF","SD",TRIM('Data Table'!F782)))</f>
        <v>SD</v>
      </c>
      <c r="D785" s="106" t="str">
        <f ca="1">IF(ISBLANK(OFFSET('Data Table'!$A780,2,Settings!$G$5-1)),"",OFFSET('Data Table'!$A780,2,Settings!$G$5-1))</f>
        <v/>
      </c>
      <c r="E785" s="106" t="str">
        <f ca="1">IF(ISBLANK(OFFSET('Data Table'!$A780,2,Settings!$G$5)),"",OFFSET('Data Table'!$A780,2,Settings!$G$5))</f>
        <v/>
      </c>
      <c r="F785" s="143">
        <f ca="1">IF(ISBLANK(OFFSET('Data Table'!$A780,2,Settings!$G$5+1)),"",OFFSET('Data Table'!$A780,2,Settings!$G$5+1))</f>
        <v>20</v>
      </c>
      <c r="G785">
        <f t="shared" ca="1" si="12"/>
        <v>20</v>
      </c>
      <c r="H785">
        <f ca="1">IF(G785=-888,"",IF(G785=-999,Settings!$G$4,IF(AND($AA$6="Excluded",G785&gt;=Settings!$G$2),"",G785)))</f>
        <v>20</v>
      </c>
      <c r="I785">
        <f ca="1">IF(OR(G785=-999,G785=-888,AND($AA$6="Excluded",G785&gt;=Settings!$G$2)),"",G785)</f>
        <v>20</v>
      </c>
      <c r="O785" s="46"/>
    </row>
    <row r="786" spans="1:15" x14ac:dyDescent="0.2">
      <c r="A786" s="1">
        <v>781</v>
      </c>
      <c r="B786" t="str">
        <f>IF(ISERROR(MATCH(TRIM('Data Table'!D783),Settings!$G$15:$G$20,0)),TRIM('Data Table'!D783),LOOKUP(TRIM('Data Table'!D783),Settings!$G$15:$G$20,Settings!$H$15:$H$20))</f>
        <v>Wake</v>
      </c>
      <c r="C786" t="str">
        <f>IF('Data Table'!F783="","SS",IF('Data Table'!F783="SF","SD",TRIM('Data Table'!F783)))</f>
        <v>SS</v>
      </c>
      <c r="D786" s="106">
        <f ca="1">IF(ISBLANK(OFFSET('Data Table'!$A781,2,Settings!$G$5-1)),"",OFFSET('Data Table'!$A781,2,Settings!$G$5-1))</f>
        <v>20</v>
      </c>
      <c r="E786" s="106" t="str">
        <f ca="1">IF(ISBLANK(OFFSET('Data Table'!$A781,2,Settings!$G$5)),"",OFFSET('Data Table'!$A781,2,Settings!$G$5))</f>
        <v/>
      </c>
      <c r="F786" s="143" t="str">
        <f ca="1">IF(ISBLANK(OFFSET('Data Table'!$A781,2,Settings!$G$5+1)),"",OFFSET('Data Table'!$A781,2,Settings!$G$5+1))</f>
        <v/>
      </c>
      <c r="G786">
        <f t="shared" ca="1" si="12"/>
        <v>20</v>
      </c>
      <c r="H786">
        <f ca="1">IF(G786=-888,"",IF(G786=-999,Settings!$G$4,IF(AND($AA$6="Excluded",G786&gt;=Settings!$G$2),"",G786)))</f>
        <v>20</v>
      </c>
      <c r="I786">
        <f ca="1">IF(OR(G786=-999,G786=-888,AND($AA$6="Excluded",G786&gt;=Settings!$G$2)),"",G786)</f>
        <v>20</v>
      </c>
      <c r="O786" s="46"/>
    </row>
    <row r="787" spans="1:15" x14ac:dyDescent="0.2">
      <c r="A787" s="1">
        <v>782</v>
      </c>
      <c r="B787" t="str">
        <f>IF(ISERROR(MATCH(TRIM('Data Table'!D784),Settings!$G$15:$G$20,0)),TRIM('Data Table'!D784),LOOKUP(TRIM('Data Table'!D784),Settings!$G$15:$G$20,Settings!$H$15:$H$20))</f>
        <v>Wake</v>
      </c>
      <c r="C787" t="str">
        <f>IF('Data Table'!F784="","SS",IF('Data Table'!F784="SF","SD",TRIM('Data Table'!F784)))</f>
        <v>SS</v>
      </c>
      <c r="D787" s="106">
        <f ca="1">IF(ISBLANK(OFFSET('Data Table'!$A782,2,Settings!$G$5-1)),"",OFFSET('Data Table'!$A782,2,Settings!$G$5-1))</f>
        <v>14</v>
      </c>
      <c r="E787" s="106" t="str">
        <f ca="1">IF(ISBLANK(OFFSET('Data Table'!$A782,2,Settings!$G$5)),"",OFFSET('Data Table'!$A782,2,Settings!$G$5))</f>
        <v/>
      </c>
      <c r="F787" s="143" t="str">
        <f ca="1">IF(ISBLANK(OFFSET('Data Table'!$A782,2,Settings!$G$5+1)),"",OFFSET('Data Table'!$A782,2,Settings!$G$5+1))</f>
        <v/>
      </c>
      <c r="G787">
        <f t="shared" ca="1" si="12"/>
        <v>14</v>
      </c>
      <c r="H787">
        <f ca="1">IF(G787=-888,"",IF(G787=-999,Settings!$G$4,IF(AND($AA$6="Excluded",G787&gt;=Settings!$G$2),"",G787)))</f>
        <v>14</v>
      </c>
      <c r="I787">
        <f ca="1">IF(OR(G787=-999,G787=-888,AND($AA$6="Excluded",G787&gt;=Settings!$G$2)),"",G787)</f>
        <v>14</v>
      </c>
      <c r="O787" s="46"/>
    </row>
    <row r="788" spans="1:15" x14ac:dyDescent="0.2">
      <c r="A788" s="1">
        <v>783</v>
      </c>
      <c r="B788" t="str">
        <f>IF(ISERROR(MATCH(TRIM('Data Table'!D785),Settings!$G$15:$G$20,0)),TRIM('Data Table'!D785),LOOKUP(TRIM('Data Table'!D785),Settings!$G$15:$G$20,Settings!$H$15:$H$20))</f>
        <v>Wake</v>
      </c>
      <c r="C788" t="str">
        <f>IF('Data Table'!F785="","SS",IF('Data Table'!F785="SF","SD",TRIM('Data Table'!F785)))</f>
        <v>SD</v>
      </c>
      <c r="D788" s="106">
        <f ca="1">IF(ISBLANK(OFFSET('Data Table'!$A783,2,Settings!$G$5-1)),"",OFFSET('Data Table'!$A783,2,Settings!$G$5-1))</f>
        <v>7</v>
      </c>
      <c r="E788" s="106" t="str">
        <f ca="1">IF(ISBLANK(OFFSET('Data Table'!$A783,2,Settings!$G$5)),"",OFFSET('Data Table'!$A783,2,Settings!$G$5))</f>
        <v/>
      </c>
      <c r="F788" s="143" t="str">
        <f ca="1">IF(ISBLANK(OFFSET('Data Table'!$A783,2,Settings!$G$5+1)),"",OFFSET('Data Table'!$A783,2,Settings!$G$5+1))</f>
        <v/>
      </c>
      <c r="G788">
        <f t="shared" ca="1" si="12"/>
        <v>7</v>
      </c>
      <c r="H788">
        <f ca="1">IF(G788=-888,"",IF(G788=-999,Settings!$G$4,IF(AND($AA$6="Excluded",G788&gt;=Settings!$G$2),"",G788)))</f>
        <v>7</v>
      </c>
      <c r="I788">
        <f ca="1">IF(OR(G788=-999,G788=-888,AND($AA$6="Excluded",G788&gt;=Settings!$G$2)),"",G788)</f>
        <v>7</v>
      </c>
      <c r="O788" s="46"/>
    </row>
    <row r="789" spans="1:15" x14ac:dyDescent="0.2">
      <c r="A789" s="1">
        <v>784</v>
      </c>
      <c r="B789" t="str">
        <f>IF(ISERROR(MATCH(TRIM('Data Table'!D786),Settings!$G$15:$G$20,0)),TRIM('Data Table'!D786),LOOKUP(TRIM('Data Table'!D786),Settings!$G$15:$G$20,Settings!$H$15:$H$20))</f>
        <v>Wake</v>
      </c>
      <c r="C789" t="str">
        <f>IF('Data Table'!F786="","SS",IF('Data Table'!F786="SF","SD",TRIM('Data Table'!F786)))</f>
        <v>SD</v>
      </c>
      <c r="D789" s="106">
        <f ca="1">IF(ISBLANK(OFFSET('Data Table'!$A784,2,Settings!$G$5-1)),"",OFFSET('Data Table'!$A784,2,Settings!$G$5-1))</f>
        <v>7.3</v>
      </c>
      <c r="E789" s="106" t="str">
        <f ca="1">IF(ISBLANK(OFFSET('Data Table'!$A784,2,Settings!$G$5)),"",OFFSET('Data Table'!$A784,2,Settings!$G$5))</f>
        <v/>
      </c>
      <c r="F789" s="143" t="str">
        <f ca="1">IF(ISBLANK(OFFSET('Data Table'!$A784,2,Settings!$G$5+1)),"",OFFSET('Data Table'!$A784,2,Settings!$G$5+1))</f>
        <v/>
      </c>
      <c r="G789">
        <f t="shared" ca="1" si="12"/>
        <v>7.3</v>
      </c>
      <c r="H789">
        <f ca="1">IF(G789=-888,"",IF(G789=-999,Settings!$G$4,IF(AND($AA$6="Excluded",G789&gt;=Settings!$G$2),"",G789)))</f>
        <v>7.3</v>
      </c>
      <c r="I789">
        <f ca="1">IF(OR(G789=-999,G789=-888,AND($AA$6="Excluded",G789&gt;=Settings!$G$2)),"",G789)</f>
        <v>7.3</v>
      </c>
      <c r="O789" s="46"/>
    </row>
    <row r="790" spans="1:15" x14ac:dyDescent="0.2">
      <c r="A790" s="1">
        <v>785</v>
      </c>
      <c r="B790" t="str">
        <f>IF(ISERROR(MATCH(TRIM('Data Table'!D787),Settings!$G$15:$G$20,0)),TRIM('Data Table'!D787),LOOKUP(TRIM('Data Table'!D787),Settings!$G$15:$G$20,Settings!$H$15:$H$20))</f>
        <v>Wake</v>
      </c>
      <c r="C790" t="str">
        <f>IF('Data Table'!F787="","SS",IF('Data Table'!F787="SF","SD",TRIM('Data Table'!F787)))</f>
        <v>SD</v>
      </c>
      <c r="D790" s="106">
        <f ca="1">IF(ISBLANK(OFFSET('Data Table'!$A785,2,Settings!$G$5-1)),"",OFFSET('Data Table'!$A785,2,Settings!$G$5-1))</f>
        <v>15</v>
      </c>
      <c r="E790" s="106" t="str">
        <f ca="1">IF(ISBLANK(OFFSET('Data Table'!$A785,2,Settings!$G$5)),"",OFFSET('Data Table'!$A785,2,Settings!$G$5))</f>
        <v/>
      </c>
      <c r="F790" s="143" t="str">
        <f ca="1">IF(ISBLANK(OFFSET('Data Table'!$A785,2,Settings!$G$5+1)),"",OFFSET('Data Table'!$A785,2,Settings!$G$5+1))</f>
        <v/>
      </c>
      <c r="G790">
        <f t="shared" ca="1" si="12"/>
        <v>15</v>
      </c>
      <c r="H790">
        <f ca="1">IF(G790=-888,"",IF(G790=-999,Settings!$G$4,IF(AND($AA$6="Excluded",G790&gt;=Settings!$G$2),"",G790)))</f>
        <v>15</v>
      </c>
      <c r="I790">
        <f ca="1">IF(OR(G790=-999,G790=-888,AND($AA$6="Excluded",G790&gt;=Settings!$G$2)),"",G790)</f>
        <v>15</v>
      </c>
      <c r="O790" s="46"/>
    </row>
    <row r="791" spans="1:15" x14ac:dyDescent="0.2">
      <c r="A791" s="1">
        <v>786</v>
      </c>
      <c r="B791" t="str">
        <f>IF(ISERROR(MATCH(TRIM('Data Table'!D788),Settings!$G$15:$G$20,0)),TRIM('Data Table'!D788),LOOKUP(TRIM('Data Table'!D788),Settings!$G$15:$G$20,Settings!$H$15:$H$20))</f>
        <v>Martin</v>
      </c>
      <c r="C791" t="str">
        <f>IF('Data Table'!F788="","SS",IF('Data Table'!F788="SF","SD",TRIM('Data Table'!F788)))</f>
        <v>SD</v>
      </c>
      <c r="D791" s="106" t="str">
        <f ca="1">IF(ISBLANK(OFFSET('Data Table'!$A786,2,Settings!$G$5-1)),"",OFFSET('Data Table'!$A786,2,Settings!$G$5-1))</f>
        <v>#</v>
      </c>
      <c r="E791" s="106" t="str">
        <f ca="1">IF(ISBLANK(OFFSET('Data Table'!$A786,2,Settings!$G$5)),"",OFFSET('Data Table'!$A786,2,Settings!$G$5))</f>
        <v/>
      </c>
      <c r="F791" s="143" t="str">
        <f ca="1">IF(ISBLANK(OFFSET('Data Table'!$A786,2,Settings!$G$5+1)),"",OFFSET('Data Table'!$A786,2,Settings!$G$5+1))</f>
        <v/>
      </c>
      <c r="G791">
        <f t="shared" ca="1" si="12"/>
        <v>-999</v>
      </c>
      <c r="H791">
        <f ca="1">IF(G791=-888,"",IF(G791=-999,Settings!$G$4,IF(AND($AA$6="Excluded",G791&gt;=Settings!$G$2),"",G791)))</f>
        <v>5.0000000000000001E-3</v>
      </c>
      <c r="I791" t="str">
        <f ca="1">IF(OR(G791=-999,G791=-888,AND($AA$6="Excluded",G791&gt;=Settings!$G$2)),"",G791)</f>
        <v/>
      </c>
      <c r="O791" s="46"/>
    </row>
    <row r="792" spans="1:15" x14ac:dyDescent="0.2">
      <c r="A792" s="1">
        <v>787</v>
      </c>
      <c r="B792" t="str">
        <f>IF(ISERROR(MATCH(TRIM('Data Table'!D789),Settings!$G$15:$G$20,0)),TRIM('Data Table'!D789),LOOKUP(TRIM('Data Table'!D789),Settings!$G$15:$G$20,Settings!$H$15:$H$20))</f>
        <v>Martin</v>
      </c>
      <c r="C792" t="str">
        <f>IF('Data Table'!F789="","SS",IF('Data Table'!F789="SF","SD",TRIM('Data Table'!F789)))</f>
        <v>SD</v>
      </c>
      <c r="D792" s="106" t="str">
        <f ca="1">IF(ISBLANK(OFFSET('Data Table'!$A787,2,Settings!$G$5-1)),"",OFFSET('Data Table'!$A787,2,Settings!$G$5-1))</f>
        <v>#</v>
      </c>
      <c r="E792" s="106" t="str">
        <f ca="1">IF(ISBLANK(OFFSET('Data Table'!$A787,2,Settings!$G$5)),"",OFFSET('Data Table'!$A787,2,Settings!$G$5))</f>
        <v/>
      </c>
      <c r="F792" s="143" t="str">
        <f ca="1">IF(ISBLANK(OFFSET('Data Table'!$A787,2,Settings!$G$5+1)),"",OFFSET('Data Table'!$A787,2,Settings!$G$5+1))</f>
        <v/>
      </c>
      <c r="G792">
        <f t="shared" ca="1" si="12"/>
        <v>-999</v>
      </c>
      <c r="H792">
        <f ca="1">IF(G792=-888,"",IF(G792=-999,Settings!$G$4,IF(AND($AA$6="Excluded",G792&gt;=Settings!$G$2),"",G792)))</f>
        <v>5.0000000000000001E-3</v>
      </c>
      <c r="I792" t="str">
        <f ca="1">IF(OR(G792=-999,G792=-888,AND($AA$6="Excluded",G792&gt;=Settings!$G$2)),"",G792)</f>
        <v/>
      </c>
      <c r="O792" s="46"/>
    </row>
    <row r="793" spans="1:15" x14ac:dyDescent="0.2">
      <c r="A793" s="1">
        <v>788</v>
      </c>
      <c r="B793" t="str">
        <f>IF(ISERROR(MATCH(TRIM('Data Table'!D790),Settings!$G$15:$G$20,0)),TRIM('Data Table'!D790),LOOKUP(TRIM('Data Table'!D790),Settings!$G$15:$G$20,Settings!$H$15:$H$20))</f>
        <v>Martin</v>
      </c>
      <c r="C793" t="str">
        <f>IF('Data Table'!F790="","SS",IF('Data Table'!F790="SF","SD",TRIM('Data Table'!F790)))</f>
        <v>SD</v>
      </c>
      <c r="D793" s="106" t="str">
        <f ca="1">IF(ISBLANK(OFFSET('Data Table'!$A788,2,Settings!$G$5-1)),"",OFFSET('Data Table'!$A788,2,Settings!$G$5-1))</f>
        <v>#</v>
      </c>
      <c r="E793" s="106" t="str">
        <f ca="1">IF(ISBLANK(OFFSET('Data Table'!$A788,2,Settings!$G$5)),"",OFFSET('Data Table'!$A788,2,Settings!$G$5))</f>
        <v/>
      </c>
      <c r="F793" s="143" t="str">
        <f ca="1">IF(ISBLANK(OFFSET('Data Table'!$A788,2,Settings!$G$5+1)),"",OFFSET('Data Table'!$A788,2,Settings!$G$5+1))</f>
        <v/>
      </c>
      <c r="G793">
        <f t="shared" ca="1" si="12"/>
        <v>-999</v>
      </c>
      <c r="H793">
        <f ca="1">IF(G793=-888,"",IF(G793=-999,Settings!$G$4,IF(AND($AA$6="Excluded",G793&gt;=Settings!$G$2),"",G793)))</f>
        <v>5.0000000000000001E-3</v>
      </c>
      <c r="I793" t="str">
        <f ca="1">IF(OR(G793=-999,G793=-888,AND($AA$6="Excluded",G793&gt;=Settings!$G$2)),"",G793)</f>
        <v/>
      </c>
      <c r="O793" s="46"/>
    </row>
    <row r="794" spans="1:15" x14ac:dyDescent="0.2">
      <c r="A794" s="1">
        <v>789</v>
      </c>
      <c r="B794" t="str">
        <f>IF(ISERROR(MATCH(TRIM('Data Table'!D791),Settings!$G$15:$G$20,0)),TRIM('Data Table'!D791),LOOKUP(TRIM('Data Table'!D791),Settings!$G$15:$G$20,Settings!$H$15:$H$20))</f>
        <v>Hoke</v>
      </c>
      <c r="C794" t="str">
        <f>IF('Data Table'!F791="","SS",IF('Data Table'!F791="SF","SD",TRIM('Data Table'!F791)))</f>
        <v>SS</v>
      </c>
      <c r="D794" s="106" t="str">
        <f ca="1">IF(ISBLANK(OFFSET('Data Table'!$A789,2,Settings!$G$5-1)),"",OFFSET('Data Table'!$A789,2,Settings!$G$5-1))</f>
        <v/>
      </c>
      <c r="E794" s="106" t="str">
        <f ca="1">IF(ISBLANK(OFFSET('Data Table'!$A789,2,Settings!$G$5)),"",OFFSET('Data Table'!$A789,2,Settings!$G$5))</f>
        <v/>
      </c>
      <c r="F794" s="143">
        <f ca="1">IF(ISBLANK(OFFSET('Data Table'!$A789,2,Settings!$G$5+1)),"",OFFSET('Data Table'!$A789,2,Settings!$G$5+1))</f>
        <v>20</v>
      </c>
      <c r="G794">
        <f t="shared" ca="1" si="12"/>
        <v>20</v>
      </c>
      <c r="H794">
        <f ca="1">IF(G794=-888,"",IF(G794=-999,Settings!$G$4,IF(AND($AA$6="Excluded",G794&gt;=Settings!$G$2),"",G794)))</f>
        <v>20</v>
      </c>
      <c r="I794">
        <f ca="1">IF(OR(G794=-999,G794=-888,AND($AA$6="Excluded",G794&gt;=Settings!$G$2)),"",G794)</f>
        <v>20</v>
      </c>
      <c r="O794" s="46"/>
    </row>
    <row r="795" spans="1:15" x14ac:dyDescent="0.2">
      <c r="A795" s="1">
        <v>790</v>
      </c>
      <c r="B795" t="str">
        <f>IF(ISERROR(MATCH(TRIM('Data Table'!D792),Settings!$G$15:$G$20,0)),TRIM('Data Table'!D792),LOOKUP(TRIM('Data Table'!D792),Settings!$G$15:$G$20,Settings!$H$15:$H$20))</f>
        <v>Hoke</v>
      </c>
      <c r="C795" t="str">
        <f>IF('Data Table'!F792="","SS",IF('Data Table'!F792="SF","SD",TRIM('Data Table'!F792)))</f>
        <v>SB</v>
      </c>
      <c r="D795" s="106" t="str">
        <f ca="1">IF(ISBLANK(OFFSET('Data Table'!$A790,2,Settings!$G$5-1)),"",OFFSET('Data Table'!$A790,2,Settings!$G$5-1))</f>
        <v/>
      </c>
      <c r="E795" s="106" t="str">
        <f ca="1">IF(ISBLANK(OFFSET('Data Table'!$A790,2,Settings!$G$5)),"",OFFSET('Data Table'!$A790,2,Settings!$G$5))</f>
        <v/>
      </c>
      <c r="F795" s="143">
        <f ca="1">IF(ISBLANK(OFFSET('Data Table'!$A790,2,Settings!$G$5+1)),"",OFFSET('Data Table'!$A790,2,Settings!$G$5+1))</f>
        <v>20</v>
      </c>
      <c r="G795">
        <f t="shared" ca="1" si="12"/>
        <v>20</v>
      </c>
      <c r="H795">
        <f ca="1">IF(G795=-888,"",IF(G795=-999,Settings!$G$4,IF(AND($AA$6="Excluded",G795&gt;=Settings!$G$2),"",G795)))</f>
        <v>20</v>
      </c>
      <c r="I795">
        <f ca="1">IF(OR(G795=-999,G795=-888,AND($AA$6="Excluded",G795&gt;=Settings!$G$2)),"",G795)</f>
        <v>20</v>
      </c>
      <c r="O795" s="46"/>
    </row>
    <row r="796" spans="1:15" x14ac:dyDescent="0.2">
      <c r="A796" s="1">
        <v>791</v>
      </c>
      <c r="B796" t="str">
        <f>IF(ISERROR(MATCH(TRIM('Data Table'!D793),Settings!$G$15:$G$20,0)),TRIM('Data Table'!D793),LOOKUP(TRIM('Data Table'!D793),Settings!$G$15:$G$20,Settings!$H$15:$H$20))</f>
        <v>Cumberland</v>
      </c>
      <c r="C796" t="str">
        <f>IF('Data Table'!F793="","SS",IF('Data Table'!F793="SF","SD",TRIM('Data Table'!F793)))</f>
        <v>SB</v>
      </c>
      <c r="D796" s="106" t="str">
        <f ca="1">IF(ISBLANK(OFFSET('Data Table'!$A791,2,Settings!$G$5-1)),"",OFFSET('Data Table'!$A791,2,Settings!$G$5-1))</f>
        <v/>
      </c>
      <c r="E796" s="106">
        <f ca="1">IF(ISBLANK(OFFSET('Data Table'!$A791,2,Settings!$G$5)),"",OFFSET('Data Table'!$A791,2,Settings!$G$5))</f>
        <v>3.4</v>
      </c>
      <c r="F796" s="143" t="str">
        <f ca="1">IF(ISBLANK(OFFSET('Data Table'!$A791,2,Settings!$G$5+1)),"",OFFSET('Data Table'!$A791,2,Settings!$G$5+1))</f>
        <v/>
      </c>
      <c r="G796">
        <f t="shared" ca="1" si="12"/>
        <v>3.4</v>
      </c>
      <c r="H796">
        <f ca="1">IF(G796=-888,"",IF(G796=-999,Settings!$G$4,IF(AND($AA$6="Excluded",G796&gt;=Settings!$G$2),"",G796)))</f>
        <v>3.4</v>
      </c>
      <c r="I796">
        <f ca="1">IF(OR(G796=-999,G796=-888,AND($AA$6="Excluded",G796&gt;=Settings!$G$2)),"",G796)</f>
        <v>3.4</v>
      </c>
      <c r="O796" s="46"/>
    </row>
    <row r="797" spans="1:15" x14ac:dyDescent="0.2">
      <c r="A797" s="1">
        <v>792</v>
      </c>
      <c r="B797" t="str">
        <f>IF(ISERROR(MATCH(TRIM('Data Table'!D794),Settings!$G$15:$G$20,0)),TRIM('Data Table'!D794),LOOKUP(TRIM('Data Table'!D794),Settings!$G$15:$G$20,Settings!$H$15:$H$20))</f>
        <v>Cumberland</v>
      </c>
      <c r="C797" t="str">
        <f>IF('Data Table'!F794="","SS",IF('Data Table'!F794="SF","SD",TRIM('Data Table'!F794)))</f>
        <v>SB</v>
      </c>
      <c r="D797" s="106" t="str">
        <f ca="1">IF(ISBLANK(OFFSET('Data Table'!$A792,2,Settings!$G$5-1)),"",OFFSET('Data Table'!$A792,2,Settings!$G$5-1))</f>
        <v/>
      </c>
      <c r="E797" s="106">
        <f ca="1">IF(ISBLANK(OFFSET('Data Table'!$A792,2,Settings!$G$5)),"",OFFSET('Data Table'!$A792,2,Settings!$G$5))</f>
        <v>24</v>
      </c>
      <c r="F797" s="143" t="str">
        <f ca="1">IF(ISBLANK(OFFSET('Data Table'!$A792,2,Settings!$G$5+1)),"",OFFSET('Data Table'!$A792,2,Settings!$G$5+1))</f>
        <v/>
      </c>
      <c r="G797">
        <f t="shared" ca="1" si="12"/>
        <v>24</v>
      </c>
      <c r="H797">
        <f ca="1">IF(G797=-888,"",IF(G797=-999,Settings!$G$4,IF(AND($AA$6="Excluded",G797&gt;=Settings!$G$2),"",G797)))</f>
        <v>24</v>
      </c>
      <c r="I797">
        <f ca="1">IF(OR(G797=-999,G797=-888,AND($AA$6="Excluded",G797&gt;=Settings!$G$2)),"",G797)</f>
        <v>24</v>
      </c>
      <c r="O797" s="46"/>
    </row>
    <row r="798" spans="1:15" x14ac:dyDescent="0.2">
      <c r="A798" s="1">
        <v>793</v>
      </c>
      <c r="B798" t="str">
        <f>IF(ISERROR(MATCH(TRIM('Data Table'!D795),Settings!$G$15:$G$20,0)),TRIM('Data Table'!D795),LOOKUP(TRIM('Data Table'!D795),Settings!$G$15:$G$20,Settings!$H$15:$H$20))</f>
        <v>Cumberland</v>
      </c>
      <c r="C798" t="str">
        <f>IF('Data Table'!F795="","SS",IF('Data Table'!F795="SF","SD",TRIM('Data Table'!F795)))</f>
        <v>SB</v>
      </c>
      <c r="D798" s="106">
        <f ca="1">IF(ISBLANK(OFFSET('Data Table'!$A793,2,Settings!$G$5-1)),"",OFFSET('Data Table'!$A793,2,Settings!$G$5-1))</f>
        <v>18</v>
      </c>
      <c r="E798" s="106" t="str">
        <f ca="1">IF(ISBLANK(OFFSET('Data Table'!$A793,2,Settings!$G$5)),"",OFFSET('Data Table'!$A793,2,Settings!$G$5))</f>
        <v/>
      </c>
      <c r="F798" s="143" t="str">
        <f ca="1">IF(ISBLANK(OFFSET('Data Table'!$A793,2,Settings!$G$5+1)),"",OFFSET('Data Table'!$A793,2,Settings!$G$5+1))</f>
        <v/>
      </c>
      <c r="G798">
        <f t="shared" ca="1" si="12"/>
        <v>18</v>
      </c>
      <c r="H798">
        <f ca="1">IF(G798=-888,"",IF(G798=-999,Settings!$G$4,IF(AND($AA$6="Excluded",G798&gt;=Settings!$G$2),"",G798)))</f>
        <v>18</v>
      </c>
      <c r="I798">
        <f ca="1">IF(OR(G798=-999,G798=-888,AND($AA$6="Excluded",G798&gt;=Settings!$G$2)),"",G798)</f>
        <v>18</v>
      </c>
      <c r="O798" s="46"/>
    </row>
    <row r="799" spans="1:15" x14ac:dyDescent="0.2">
      <c r="A799" s="1">
        <v>794</v>
      </c>
      <c r="B799" t="str">
        <f>IF(ISERROR(MATCH(TRIM('Data Table'!D796),Settings!$G$15:$G$20,0)),TRIM('Data Table'!D796),LOOKUP(TRIM('Data Table'!D796),Settings!$G$15:$G$20,Settings!$H$15:$H$20))</f>
        <v>Cumberland</v>
      </c>
      <c r="C799" t="str">
        <f>IF('Data Table'!F796="","SS",IF('Data Table'!F796="SF","SD",TRIM('Data Table'!F796)))</f>
        <v>SB</v>
      </c>
      <c r="D799" s="106">
        <f ca="1">IF(ISBLANK(OFFSET('Data Table'!$A794,2,Settings!$G$5-1)),"",OFFSET('Data Table'!$A794,2,Settings!$G$5-1))</f>
        <v>16</v>
      </c>
      <c r="E799" s="106" t="str">
        <f ca="1">IF(ISBLANK(OFFSET('Data Table'!$A794,2,Settings!$G$5)),"",OFFSET('Data Table'!$A794,2,Settings!$G$5))</f>
        <v/>
      </c>
      <c r="F799" s="143" t="str">
        <f ca="1">IF(ISBLANK(OFFSET('Data Table'!$A794,2,Settings!$G$5+1)),"",OFFSET('Data Table'!$A794,2,Settings!$G$5+1))</f>
        <v/>
      </c>
      <c r="G799">
        <f t="shared" ca="1" si="12"/>
        <v>16</v>
      </c>
      <c r="H799">
        <f ca="1">IF(G799=-888,"",IF(G799=-999,Settings!$G$4,IF(AND($AA$6="Excluded",G799&gt;=Settings!$G$2),"",G799)))</f>
        <v>16</v>
      </c>
      <c r="I799">
        <f ca="1">IF(OR(G799=-999,G799=-888,AND($AA$6="Excluded",G799&gt;=Settings!$G$2)),"",G799)</f>
        <v>16</v>
      </c>
      <c r="O799" s="46"/>
    </row>
    <row r="800" spans="1:15" x14ac:dyDescent="0.2">
      <c r="A800" s="1">
        <v>795</v>
      </c>
      <c r="B800" t="str">
        <f>IF(ISERROR(MATCH(TRIM('Data Table'!D797),Settings!$G$15:$G$20,0)),TRIM('Data Table'!D797),LOOKUP(TRIM('Data Table'!D797),Settings!$G$15:$G$20,Settings!$H$15:$H$20))</f>
        <v>Granville</v>
      </c>
      <c r="C800" t="str">
        <f>IF('Data Table'!F797="","SS",IF('Data Table'!F797="SF","SD",TRIM('Data Table'!F797)))</f>
        <v>SB</v>
      </c>
      <c r="D800" s="106">
        <f ca="1">IF(ISBLANK(OFFSET('Data Table'!$A795,2,Settings!$G$5-1)),"",OFFSET('Data Table'!$A795,2,Settings!$G$5-1))</f>
        <v>6.3</v>
      </c>
      <c r="E800" s="106" t="str">
        <f ca="1">IF(ISBLANK(OFFSET('Data Table'!$A795,2,Settings!$G$5)),"",OFFSET('Data Table'!$A795,2,Settings!$G$5))</f>
        <v/>
      </c>
      <c r="F800" s="143" t="str">
        <f ca="1">IF(ISBLANK(OFFSET('Data Table'!$A795,2,Settings!$G$5+1)),"",OFFSET('Data Table'!$A795,2,Settings!$G$5+1))</f>
        <v/>
      </c>
      <c r="G800">
        <f t="shared" ca="1" si="12"/>
        <v>6.3</v>
      </c>
      <c r="H800">
        <f ca="1">IF(G800=-888,"",IF(G800=-999,Settings!$G$4,IF(AND($AA$6="Excluded",G800&gt;=Settings!$G$2),"",G800)))</f>
        <v>6.3</v>
      </c>
      <c r="I800">
        <f ca="1">IF(OR(G800=-999,G800=-888,AND($AA$6="Excluded",G800&gt;=Settings!$G$2)),"",G800)</f>
        <v>6.3</v>
      </c>
      <c r="O800" s="46"/>
    </row>
    <row r="801" spans="1:15" x14ac:dyDescent="0.2">
      <c r="A801" s="1">
        <v>796</v>
      </c>
      <c r="B801" t="str">
        <f>IF(ISERROR(MATCH(TRIM('Data Table'!D798),Settings!$G$15:$G$20,0)),TRIM('Data Table'!D798),LOOKUP(TRIM('Data Table'!D798),Settings!$G$15:$G$20,Settings!$H$15:$H$20))</f>
        <v>Guilford</v>
      </c>
      <c r="C801" t="str">
        <f>IF('Data Table'!F798="","SS",IF('Data Table'!F798="SF","SD",TRIM('Data Table'!F798)))</f>
        <v>SS</v>
      </c>
      <c r="D801" s="106">
        <f ca="1">IF(ISBLANK(OFFSET('Data Table'!$A796,2,Settings!$G$5-1)),"",OFFSET('Data Table'!$A796,2,Settings!$G$5-1))</f>
        <v>12</v>
      </c>
      <c r="E801" s="106" t="str">
        <f ca="1">IF(ISBLANK(OFFSET('Data Table'!$A796,2,Settings!$G$5)),"",OFFSET('Data Table'!$A796,2,Settings!$G$5))</f>
        <v/>
      </c>
      <c r="F801" s="143" t="str">
        <f ca="1">IF(ISBLANK(OFFSET('Data Table'!$A796,2,Settings!$G$5+1)),"",OFFSET('Data Table'!$A796,2,Settings!$G$5+1))</f>
        <v/>
      </c>
      <c r="G801">
        <f t="shared" ca="1" si="12"/>
        <v>12</v>
      </c>
      <c r="H801">
        <f ca="1">IF(G801=-888,"",IF(G801=-999,Settings!$G$4,IF(AND($AA$6="Excluded",G801&gt;=Settings!$G$2),"",G801)))</f>
        <v>12</v>
      </c>
      <c r="I801">
        <f ca="1">IF(OR(G801=-999,G801=-888,AND($AA$6="Excluded",G801&gt;=Settings!$G$2)),"",G801)</f>
        <v>12</v>
      </c>
      <c r="O801" s="46"/>
    </row>
    <row r="802" spans="1:15" x14ac:dyDescent="0.2">
      <c r="A802" s="1">
        <v>797</v>
      </c>
      <c r="B802" t="str">
        <f>IF(ISERROR(MATCH(TRIM('Data Table'!D799),Settings!$G$15:$G$20,0)),TRIM('Data Table'!D799),LOOKUP(TRIM('Data Table'!D799),Settings!$G$15:$G$20,Settings!$H$15:$H$20))</f>
        <v>Guilford</v>
      </c>
      <c r="C802" t="str">
        <f>IF('Data Table'!F799="","SS",IF('Data Table'!F799="SF","SD",TRIM('Data Table'!F799)))</f>
        <v>SS</v>
      </c>
      <c r="D802" s="106">
        <f ca="1">IF(ISBLANK(OFFSET('Data Table'!$A797,2,Settings!$G$5-1)),"",OFFSET('Data Table'!$A797,2,Settings!$G$5-1))</f>
        <v>16</v>
      </c>
      <c r="E802" s="106" t="str">
        <f ca="1">IF(ISBLANK(OFFSET('Data Table'!$A797,2,Settings!$G$5)),"",OFFSET('Data Table'!$A797,2,Settings!$G$5))</f>
        <v/>
      </c>
      <c r="F802" s="143" t="str">
        <f ca="1">IF(ISBLANK(OFFSET('Data Table'!$A797,2,Settings!$G$5+1)),"",OFFSET('Data Table'!$A797,2,Settings!$G$5+1))</f>
        <v/>
      </c>
      <c r="G802">
        <f t="shared" ca="1" si="12"/>
        <v>16</v>
      </c>
      <c r="H802">
        <f ca="1">IF(G802=-888,"",IF(G802=-999,Settings!$G$4,IF(AND($AA$6="Excluded",G802&gt;=Settings!$G$2),"",G802)))</f>
        <v>16</v>
      </c>
      <c r="I802">
        <f ca="1">IF(OR(G802=-999,G802=-888,AND($AA$6="Excluded",G802&gt;=Settings!$G$2)),"",G802)</f>
        <v>16</v>
      </c>
      <c r="O802" s="46"/>
    </row>
    <row r="803" spans="1:15" x14ac:dyDescent="0.2">
      <c r="A803" s="1">
        <v>798</v>
      </c>
      <c r="B803" t="str">
        <f>IF(ISERROR(MATCH(TRIM('Data Table'!D800),Settings!$G$15:$G$20,0)),TRIM('Data Table'!D800),LOOKUP(TRIM('Data Table'!D800),Settings!$G$15:$G$20,Settings!$H$15:$H$20))</f>
        <v>Guilford</v>
      </c>
      <c r="C803" t="str">
        <f>IF('Data Table'!F800="","SS",IF('Data Table'!F800="SF","SD",TRIM('Data Table'!F800)))</f>
        <v>SS</v>
      </c>
      <c r="D803" s="106">
        <f ca="1">IF(ISBLANK(OFFSET('Data Table'!$A798,2,Settings!$G$5-1)),"",OFFSET('Data Table'!$A798,2,Settings!$G$5-1))</f>
        <v>11</v>
      </c>
      <c r="E803" s="106" t="str">
        <f ca="1">IF(ISBLANK(OFFSET('Data Table'!$A798,2,Settings!$G$5)),"",OFFSET('Data Table'!$A798,2,Settings!$G$5))</f>
        <v/>
      </c>
      <c r="F803" s="143" t="str">
        <f ca="1">IF(ISBLANK(OFFSET('Data Table'!$A798,2,Settings!$G$5+1)),"",OFFSET('Data Table'!$A798,2,Settings!$G$5+1))</f>
        <v/>
      </c>
      <c r="G803">
        <f t="shared" ca="1" si="12"/>
        <v>11</v>
      </c>
      <c r="H803">
        <f ca="1">IF(G803=-888,"",IF(G803=-999,Settings!$G$4,IF(AND($AA$6="Excluded",G803&gt;=Settings!$G$2),"",G803)))</f>
        <v>11</v>
      </c>
      <c r="I803">
        <f ca="1">IF(OR(G803=-999,G803=-888,AND($AA$6="Excluded",G803&gt;=Settings!$G$2)),"",G803)</f>
        <v>11</v>
      </c>
      <c r="O803" s="46"/>
    </row>
    <row r="804" spans="1:15" x14ac:dyDescent="0.2">
      <c r="A804" s="1">
        <v>799</v>
      </c>
      <c r="B804" t="str">
        <f>IF(ISERROR(MATCH(TRIM('Data Table'!D801),Settings!$G$15:$G$20,0)),TRIM('Data Table'!D801),LOOKUP(TRIM('Data Table'!D801),Settings!$G$15:$G$20,Settings!$H$15:$H$20))</f>
        <v>Guilford</v>
      </c>
      <c r="C804" t="str">
        <f>IF('Data Table'!F801="","SS",IF('Data Table'!F801="SF","SD",TRIM('Data Table'!F801)))</f>
        <v>SS</v>
      </c>
      <c r="D804" s="106">
        <f ca="1">IF(ISBLANK(OFFSET('Data Table'!$A799,2,Settings!$G$5-1)),"",OFFSET('Data Table'!$A799,2,Settings!$G$5-1))</f>
        <v>9.5</v>
      </c>
      <c r="E804" s="106" t="str">
        <f ca="1">IF(ISBLANK(OFFSET('Data Table'!$A799,2,Settings!$G$5)),"",OFFSET('Data Table'!$A799,2,Settings!$G$5))</f>
        <v/>
      </c>
      <c r="F804" s="143" t="str">
        <f ca="1">IF(ISBLANK(OFFSET('Data Table'!$A799,2,Settings!$G$5+1)),"",OFFSET('Data Table'!$A799,2,Settings!$G$5+1))</f>
        <v/>
      </c>
      <c r="G804">
        <f t="shared" ca="1" si="12"/>
        <v>9.5</v>
      </c>
      <c r="H804">
        <f ca="1">IF(G804=-888,"",IF(G804=-999,Settings!$G$4,IF(AND($AA$6="Excluded",G804&gt;=Settings!$G$2),"",G804)))</f>
        <v>9.5</v>
      </c>
      <c r="I804">
        <f ca="1">IF(OR(G804=-999,G804=-888,AND($AA$6="Excluded",G804&gt;=Settings!$G$2)),"",G804)</f>
        <v>9.5</v>
      </c>
      <c r="O804" s="46"/>
    </row>
    <row r="805" spans="1:15" x14ac:dyDescent="0.2">
      <c r="A805" s="1">
        <v>800</v>
      </c>
      <c r="B805" t="str">
        <f>IF(ISERROR(MATCH(TRIM('Data Table'!D802),Settings!$G$15:$G$20,0)),TRIM('Data Table'!D802),LOOKUP(TRIM('Data Table'!D802),Settings!$G$15:$G$20,Settings!$H$15:$H$20))</f>
        <v>Guilford</v>
      </c>
      <c r="C805" t="str">
        <f>IF('Data Table'!F802="","SS",IF('Data Table'!F802="SF","SD",TRIM('Data Table'!F802)))</f>
        <v>SS</v>
      </c>
      <c r="D805" s="106">
        <f ca="1">IF(ISBLANK(OFFSET('Data Table'!$A800,2,Settings!$G$5-1)),"",OFFSET('Data Table'!$A800,2,Settings!$G$5-1))</f>
        <v>18</v>
      </c>
      <c r="E805" s="106" t="str">
        <f ca="1">IF(ISBLANK(OFFSET('Data Table'!$A800,2,Settings!$G$5)),"",OFFSET('Data Table'!$A800,2,Settings!$G$5))</f>
        <v/>
      </c>
      <c r="F805" s="143" t="str">
        <f ca="1">IF(ISBLANK(OFFSET('Data Table'!$A800,2,Settings!$G$5+1)),"",OFFSET('Data Table'!$A800,2,Settings!$G$5+1))</f>
        <v/>
      </c>
      <c r="G805">
        <f t="shared" ca="1" si="12"/>
        <v>18</v>
      </c>
      <c r="H805">
        <f ca="1">IF(G805=-888,"",IF(G805=-999,Settings!$G$4,IF(AND($AA$6="Excluded",G805&gt;=Settings!$G$2),"",G805)))</f>
        <v>18</v>
      </c>
      <c r="I805">
        <f ca="1">IF(OR(G805=-999,G805=-888,AND($AA$6="Excluded",G805&gt;=Settings!$G$2)),"",G805)</f>
        <v>18</v>
      </c>
      <c r="O805" s="46"/>
    </row>
    <row r="806" spans="1:15" x14ac:dyDescent="0.2">
      <c r="A806" s="1">
        <v>801</v>
      </c>
      <c r="B806" t="str">
        <f>IF(ISERROR(MATCH(TRIM('Data Table'!D803),Settings!$G$15:$G$20,0)),TRIM('Data Table'!D803),LOOKUP(TRIM('Data Table'!D803),Settings!$G$15:$G$20,Settings!$H$15:$H$20))</f>
        <v>Nash</v>
      </c>
      <c r="C806" t="str">
        <f>IF('Data Table'!F803="","SS",IF('Data Table'!F803="SF","SD",TRIM('Data Table'!F803)))</f>
        <v>SS</v>
      </c>
      <c r="D806" s="106">
        <f ca="1">IF(ISBLANK(OFFSET('Data Table'!$A801,2,Settings!$G$5-1)),"",OFFSET('Data Table'!$A801,2,Settings!$G$5-1))</f>
        <v>7.1</v>
      </c>
      <c r="E806" s="106" t="str">
        <f ca="1">IF(ISBLANK(OFFSET('Data Table'!$A801,2,Settings!$G$5)),"",OFFSET('Data Table'!$A801,2,Settings!$G$5))</f>
        <v/>
      </c>
      <c r="F806" s="143" t="str">
        <f ca="1">IF(ISBLANK(OFFSET('Data Table'!$A801,2,Settings!$G$5+1)),"",OFFSET('Data Table'!$A801,2,Settings!$G$5+1))</f>
        <v/>
      </c>
      <c r="G806">
        <f t="shared" ca="1" si="12"/>
        <v>7.1</v>
      </c>
      <c r="H806">
        <f ca="1">IF(G806=-888,"",IF(G806=-999,Settings!$G$4,IF(AND($AA$6="Excluded",G806&gt;=Settings!$G$2),"",G806)))</f>
        <v>7.1</v>
      </c>
      <c r="I806">
        <f ca="1">IF(OR(G806=-999,G806=-888,AND($AA$6="Excluded",G806&gt;=Settings!$G$2)),"",G806)</f>
        <v>7.1</v>
      </c>
      <c r="O806" s="46"/>
    </row>
    <row r="807" spans="1:15" x14ac:dyDescent="0.2">
      <c r="A807" s="1">
        <v>802</v>
      </c>
      <c r="B807" t="str">
        <f>IF(ISERROR(MATCH(TRIM('Data Table'!D804),Settings!$G$15:$G$20,0)),TRIM('Data Table'!D804),LOOKUP(TRIM('Data Table'!D804),Settings!$G$15:$G$20,Settings!$H$15:$H$20))</f>
        <v>Nash</v>
      </c>
      <c r="C807" t="str">
        <f>IF('Data Table'!F804="","SS",IF('Data Table'!F804="SF","SD",TRIM('Data Table'!F804)))</f>
        <v>SB</v>
      </c>
      <c r="D807" s="106">
        <f ca="1">IF(ISBLANK(OFFSET('Data Table'!$A802,2,Settings!$G$5-1)),"",OFFSET('Data Table'!$A802,2,Settings!$G$5-1))</f>
        <v>3.6</v>
      </c>
      <c r="E807" s="106" t="str">
        <f ca="1">IF(ISBLANK(OFFSET('Data Table'!$A802,2,Settings!$G$5)),"",OFFSET('Data Table'!$A802,2,Settings!$G$5))</f>
        <v/>
      </c>
      <c r="F807" s="143" t="str">
        <f ca="1">IF(ISBLANK(OFFSET('Data Table'!$A802,2,Settings!$G$5+1)),"",OFFSET('Data Table'!$A802,2,Settings!$G$5+1))</f>
        <v/>
      </c>
      <c r="G807">
        <f t="shared" ca="1" si="12"/>
        <v>3.6</v>
      </c>
      <c r="H807">
        <f ca="1">IF(G807=-888,"",IF(G807=-999,Settings!$G$4,IF(AND($AA$6="Excluded",G807&gt;=Settings!$G$2),"",G807)))</f>
        <v>3.6</v>
      </c>
      <c r="I807">
        <f ca="1">IF(OR(G807=-999,G807=-888,AND($AA$6="Excluded",G807&gt;=Settings!$G$2)),"",G807)</f>
        <v>3.6</v>
      </c>
      <c r="O807" s="46"/>
    </row>
    <row r="808" spans="1:15" x14ac:dyDescent="0.2">
      <c r="A808" s="1">
        <v>803</v>
      </c>
      <c r="B808" t="str">
        <f>IF(ISERROR(MATCH(TRIM('Data Table'!D805),Settings!$G$15:$G$20,0)),TRIM('Data Table'!D805),LOOKUP(TRIM('Data Table'!D805),Settings!$G$15:$G$20,Settings!$H$15:$H$20))</f>
        <v>Guilford</v>
      </c>
      <c r="C808" t="str">
        <f>IF('Data Table'!F805="","SS",IF('Data Table'!F805="SF","SD",TRIM('Data Table'!F805)))</f>
        <v>SD</v>
      </c>
      <c r="D808" s="106">
        <f ca="1">IF(ISBLANK(OFFSET('Data Table'!$A803,2,Settings!$G$5-1)),"",OFFSET('Data Table'!$A803,2,Settings!$G$5-1))</f>
        <v>10</v>
      </c>
      <c r="E808" s="106" t="str">
        <f ca="1">IF(ISBLANK(OFFSET('Data Table'!$A803,2,Settings!$G$5)),"",OFFSET('Data Table'!$A803,2,Settings!$G$5))</f>
        <v/>
      </c>
      <c r="F808" s="143" t="str">
        <f ca="1">IF(ISBLANK(OFFSET('Data Table'!$A803,2,Settings!$G$5+1)),"",OFFSET('Data Table'!$A803,2,Settings!$G$5+1))</f>
        <v/>
      </c>
      <c r="G808">
        <f t="shared" ca="1" si="12"/>
        <v>10</v>
      </c>
      <c r="H808">
        <f ca="1">IF(G808=-888,"",IF(G808=-999,Settings!$G$4,IF(AND($AA$6="Excluded",G808&gt;=Settings!$G$2),"",G808)))</f>
        <v>10</v>
      </c>
      <c r="I808">
        <f ca="1">IF(OR(G808=-999,G808=-888,AND($AA$6="Excluded",G808&gt;=Settings!$G$2)),"",G808)</f>
        <v>10</v>
      </c>
      <c r="O808" s="46"/>
    </row>
    <row r="809" spans="1:15" x14ac:dyDescent="0.2">
      <c r="A809" s="1">
        <v>804</v>
      </c>
      <c r="B809" t="str">
        <f>IF(ISERROR(MATCH(TRIM('Data Table'!D806),Settings!$G$15:$G$20,0)),TRIM('Data Table'!D806),LOOKUP(TRIM('Data Table'!D806),Settings!$G$15:$G$20,Settings!$H$15:$H$20))</f>
        <v>Guilford</v>
      </c>
      <c r="C809" t="str">
        <f>IF('Data Table'!F806="","SS",IF('Data Table'!F806="SF","SD",TRIM('Data Table'!F806)))</f>
        <v>SD</v>
      </c>
      <c r="D809" s="106">
        <f ca="1">IF(ISBLANK(OFFSET('Data Table'!$A804,2,Settings!$G$5-1)),"",OFFSET('Data Table'!$A804,2,Settings!$G$5-1))</f>
        <v>1.8</v>
      </c>
      <c r="E809" s="106" t="str">
        <f ca="1">IF(ISBLANK(OFFSET('Data Table'!$A804,2,Settings!$G$5)),"",OFFSET('Data Table'!$A804,2,Settings!$G$5))</f>
        <v/>
      </c>
      <c r="F809" s="143" t="str">
        <f ca="1">IF(ISBLANK(OFFSET('Data Table'!$A804,2,Settings!$G$5+1)),"",OFFSET('Data Table'!$A804,2,Settings!$G$5+1))</f>
        <v/>
      </c>
      <c r="G809">
        <f t="shared" ca="1" si="12"/>
        <v>1.8</v>
      </c>
      <c r="H809">
        <f ca="1">IF(G809=-888,"",IF(G809=-999,Settings!$G$4,IF(AND($AA$6="Excluded",G809&gt;=Settings!$G$2),"",G809)))</f>
        <v>1.8</v>
      </c>
      <c r="I809">
        <f ca="1">IF(OR(G809=-999,G809=-888,AND($AA$6="Excluded",G809&gt;=Settings!$G$2)),"",G809)</f>
        <v>1.8</v>
      </c>
      <c r="O809" s="46"/>
    </row>
    <row r="810" spans="1:15" x14ac:dyDescent="0.2">
      <c r="A810" s="1">
        <v>805</v>
      </c>
      <c r="B810" t="str">
        <f>IF(ISERROR(MATCH(TRIM('Data Table'!D807),Settings!$G$15:$G$20,0)),TRIM('Data Table'!D807),LOOKUP(TRIM('Data Table'!D807),Settings!$G$15:$G$20,Settings!$H$15:$H$20))</f>
        <v>Pitt</v>
      </c>
      <c r="C810" t="str">
        <f>IF('Data Table'!F807="","SS",IF('Data Table'!F807="SF","SD",TRIM('Data Table'!F807)))</f>
        <v>SS</v>
      </c>
      <c r="D810" s="106">
        <f ca="1">IF(ISBLANK(OFFSET('Data Table'!$A805,2,Settings!$G$5-1)),"",OFFSET('Data Table'!$A805,2,Settings!$G$5-1))</f>
        <v>4.7</v>
      </c>
      <c r="E810" s="106" t="str">
        <f ca="1">IF(ISBLANK(OFFSET('Data Table'!$A805,2,Settings!$G$5)),"",OFFSET('Data Table'!$A805,2,Settings!$G$5))</f>
        <v/>
      </c>
      <c r="F810" s="143" t="str">
        <f ca="1">IF(ISBLANK(OFFSET('Data Table'!$A805,2,Settings!$G$5+1)),"",OFFSET('Data Table'!$A805,2,Settings!$G$5+1))</f>
        <v/>
      </c>
      <c r="G810">
        <f t="shared" ca="1" si="12"/>
        <v>4.7</v>
      </c>
      <c r="H810">
        <f ca="1">IF(G810=-888,"",IF(G810=-999,Settings!$G$4,IF(AND($AA$6="Excluded",G810&gt;=Settings!$G$2),"",G810)))</f>
        <v>4.7</v>
      </c>
      <c r="I810">
        <f ca="1">IF(OR(G810=-999,G810=-888,AND($AA$6="Excluded",G810&gt;=Settings!$G$2)),"",G810)</f>
        <v>4.7</v>
      </c>
      <c r="O810" s="46"/>
    </row>
    <row r="811" spans="1:15" x14ac:dyDescent="0.2">
      <c r="A811" s="1">
        <v>806</v>
      </c>
      <c r="B811" t="str">
        <f>IF(ISERROR(MATCH(TRIM('Data Table'!D808),Settings!$G$15:$G$20,0)),TRIM('Data Table'!D808),LOOKUP(TRIM('Data Table'!D808),Settings!$G$15:$G$20,Settings!$H$15:$H$20))</f>
        <v>Union</v>
      </c>
      <c r="C811" t="str">
        <f>IF('Data Table'!F808="","SS",IF('Data Table'!F808="SF","SD",TRIM('Data Table'!F808)))</f>
        <v>SS</v>
      </c>
      <c r="D811" s="106" t="str">
        <f ca="1">IF(ISBLANK(OFFSET('Data Table'!$A806,2,Settings!$G$5-1)),"",OFFSET('Data Table'!$A806,2,Settings!$G$5-1))</f>
        <v/>
      </c>
      <c r="E811" s="106">
        <f ca="1">IF(ISBLANK(OFFSET('Data Table'!$A806,2,Settings!$G$5)),"",OFFSET('Data Table'!$A806,2,Settings!$G$5))</f>
        <v>18.72</v>
      </c>
      <c r="F811" s="143" t="str">
        <f ca="1">IF(ISBLANK(OFFSET('Data Table'!$A806,2,Settings!$G$5+1)),"",OFFSET('Data Table'!$A806,2,Settings!$G$5+1))</f>
        <v/>
      </c>
      <c r="G811">
        <f t="shared" ca="1" si="12"/>
        <v>18.72</v>
      </c>
      <c r="H811">
        <f ca="1">IF(G811=-888,"",IF(G811=-999,Settings!$G$4,IF(AND($AA$6="Excluded",G811&gt;=Settings!$G$2),"",G811)))</f>
        <v>18.72</v>
      </c>
      <c r="I811">
        <f ca="1">IF(OR(G811=-999,G811=-888,AND($AA$6="Excluded",G811&gt;=Settings!$G$2)),"",G811)</f>
        <v>18.72</v>
      </c>
      <c r="O811" s="46"/>
    </row>
    <row r="812" spans="1:15" x14ac:dyDescent="0.2">
      <c r="A812" s="1">
        <v>807</v>
      </c>
      <c r="B812" t="str">
        <f>IF(ISERROR(MATCH(TRIM('Data Table'!D809),Settings!$G$15:$G$20,0)),TRIM('Data Table'!D809),LOOKUP(TRIM('Data Table'!D809),Settings!$G$15:$G$20,Settings!$H$15:$H$20))</f>
        <v>Union</v>
      </c>
      <c r="C812" t="str">
        <f>IF('Data Table'!F809="","SS",IF('Data Table'!F809="SF","SD",TRIM('Data Table'!F809)))</f>
        <v>SD</v>
      </c>
      <c r="D812" s="106">
        <f ca="1">IF(ISBLANK(OFFSET('Data Table'!$A807,2,Settings!$G$5-1)),"",OFFSET('Data Table'!$A807,2,Settings!$G$5-1))</f>
        <v>56</v>
      </c>
      <c r="E812" s="106" t="str">
        <f ca="1">IF(ISBLANK(OFFSET('Data Table'!$A807,2,Settings!$G$5)),"",OFFSET('Data Table'!$A807,2,Settings!$G$5))</f>
        <v/>
      </c>
      <c r="F812" s="143" t="str">
        <f ca="1">IF(ISBLANK(OFFSET('Data Table'!$A807,2,Settings!$G$5+1)),"",OFFSET('Data Table'!$A807,2,Settings!$G$5+1))</f>
        <v/>
      </c>
      <c r="G812">
        <f t="shared" ca="1" si="12"/>
        <v>56</v>
      </c>
      <c r="H812">
        <f ca="1">IF(G812=-888,"",IF(G812=-999,Settings!$G$4,IF(AND($AA$6="Excluded",G812&gt;=Settings!$G$2),"",G812)))</f>
        <v>56</v>
      </c>
      <c r="I812">
        <f ca="1">IF(OR(G812=-999,G812=-888,AND($AA$6="Excluded",G812&gt;=Settings!$G$2)),"",G812)</f>
        <v>56</v>
      </c>
      <c r="O812" s="46"/>
    </row>
    <row r="813" spans="1:15" x14ac:dyDescent="0.2">
      <c r="A813" s="1">
        <v>808</v>
      </c>
      <c r="B813" t="str">
        <f>IF(ISERROR(MATCH(TRIM('Data Table'!D810),Settings!$G$15:$G$20,0)),TRIM('Data Table'!D810),LOOKUP(TRIM('Data Table'!D810),Settings!$G$15:$G$20,Settings!$H$15:$H$20))</f>
        <v>Cumberland</v>
      </c>
      <c r="C813" t="str">
        <f>IF('Data Table'!F810="","SS",IF('Data Table'!F810="SF","SD",TRIM('Data Table'!F810)))</f>
        <v>SS</v>
      </c>
      <c r="D813" s="106" t="str">
        <f ca="1">IF(ISBLANK(OFFSET('Data Table'!$A808,2,Settings!$G$5-1)),"",OFFSET('Data Table'!$A808,2,Settings!$G$5-1))</f>
        <v>#</v>
      </c>
      <c r="E813" s="106" t="str">
        <f ca="1">IF(ISBLANK(OFFSET('Data Table'!$A808,2,Settings!$G$5)),"",OFFSET('Data Table'!$A808,2,Settings!$G$5))</f>
        <v/>
      </c>
      <c r="F813" s="143" t="str">
        <f ca="1">IF(ISBLANK(OFFSET('Data Table'!$A808,2,Settings!$G$5+1)),"",OFFSET('Data Table'!$A808,2,Settings!$G$5+1))</f>
        <v/>
      </c>
      <c r="G813">
        <f t="shared" ca="1" si="12"/>
        <v>-999</v>
      </c>
      <c r="H813">
        <f ca="1">IF(G813=-888,"",IF(G813=-999,Settings!$G$4,IF(AND($AA$6="Excluded",G813&gt;=Settings!$G$2),"",G813)))</f>
        <v>5.0000000000000001E-3</v>
      </c>
      <c r="I813" t="str">
        <f ca="1">IF(OR(G813=-999,G813=-888,AND($AA$6="Excluded",G813&gt;=Settings!$G$2)),"",G813)</f>
        <v/>
      </c>
      <c r="O813" s="46"/>
    </row>
    <row r="814" spans="1:15" x14ac:dyDescent="0.2">
      <c r="A814" s="1">
        <v>809</v>
      </c>
      <c r="B814" t="str">
        <f>IF(ISERROR(MATCH(TRIM('Data Table'!D811),Settings!$G$15:$G$20,0)),TRIM('Data Table'!D811),LOOKUP(TRIM('Data Table'!D811),Settings!$G$15:$G$20,Settings!$H$15:$H$20))</f>
        <v>Cumberland</v>
      </c>
      <c r="C814" t="str">
        <f>IF('Data Table'!F811="","SS",IF('Data Table'!F811="SF","SD",TRIM('Data Table'!F811)))</f>
        <v>SB</v>
      </c>
      <c r="D814" s="106">
        <f ca="1">IF(ISBLANK(OFFSET('Data Table'!$A809,2,Settings!$G$5-1)),"",OFFSET('Data Table'!$A809,2,Settings!$G$5-1))</f>
        <v>8.48</v>
      </c>
      <c r="E814" s="106" t="str">
        <f ca="1">IF(ISBLANK(OFFSET('Data Table'!$A809,2,Settings!$G$5)),"",OFFSET('Data Table'!$A809,2,Settings!$G$5))</f>
        <v/>
      </c>
      <c r="F814" s="143" t="str">
        <f ca="1">IF(ISBLANK(OFFSET('Data Table'!$A809,2,Settings!$G$5+1)),"",OFFSET('Data Table'!$A809,2,Settings!$G$5+1))</f>
        <v/>
      </c>
      <c r="G814">
        <f t="shared" ca="1" si="12"/>
        <v>8.48</v>
      </c>
      <c r="H814">
        <f ca="1">IF(G814=-888,"",IF(G814=-999,Settings!$G$4,IF(AND($AA$6="Excluded",G814&gt;=Settings!$G$2),"",G814)))</f>
        <v>8.48</v>
      </c>
      <c r="I814">
        <f ca="1">IF(OR(G814=-999,G814=-888,AND($AA$6="Excluded",G814&gt;=Settings!$G$2)),"",G814)</f>
        <v>8.48</v>
      </c>
      <c r="O814" s="46"/>
    </row>
    <row r="815" spans="1:15" x14ac:dyDescent="0.2">
      <c r="A815" s="1">
        <v>810</v>
      </c>
      <c r="B815" t="str">
        <f>IF(ISERROR(MATCH(TRIM('Data Table'!D812),Settings!$G$15:$G$20,0)),TRIM('Data Table'!D812),LOOKUP(TRIM('Data Table'!D812),Settings!$G$15:$G$20,Settings!$H$15:$H$20))</f>
        <v>Burke</v>
      </c>
      <c r="C815" t="str">
        <f>IF('Data Table'!F812="","SS",IF('Data Table'!F812="SF","SD",TRIM('Data Table'!F812)))</f>
        <v>SD</v>
      </c>
      <c r="D815" s="106" t="str">
        <f ca="1">IF(ISBLANK(OFFSET('Data Table'!$A810,2,Settings!$G$5-1)),"",OFFSET('Data Table'!$A810,2,Settings!$G$5-1))</f>
        <v/>
      </c>
      <c r="E815" s="106" t="str">
        <f ca="1">IF(ISBLANK(OFFSET('Data Table'!$A810,2,Settings!$G$5)),"",OFFSET('Data Table'!$A810,2,Settings!$G$5))</f>
        <v/>
      </c>
      <c r="F815" s="143">
        <f ca="1">IF(ISBLANK(OFFSET('Data Table'!$A810,2,Settings!$G$5+1)),"",OFFSET('Data Table'!$A810,2,Settings!$G$5+1))</f>
        <v>5.0000000000000001E-3</v>
      </c>
      <c r="G815">
        <f t="shared" ca="1" si="12"/>
        <v>5.0000000000000001E-3</v>
      </c>
      <c r="H815">
        <f ca="1">IF(G815=-888,"",IF(G815=-999,Settings!$G$4,IF(AND($AA$6="Excluded",G815&gt;=Settings!$G$2),"",G815)))</f>
        <v>5.0000000000000001E-3</v>
      </c>
      <c r="I815">
        <f ca="1">IF(OR(G815=-999,G815=-888,AND($AA$6="Excluded",G815&gt;=Settings!$G$2)),"",G815)</f>
        <v>5.0000000000000001E-3</v>
      </c>
      <c r="O815" s="46"/>
    </row>
    <row r="816" spans="1:15" x14ac:dyDescent="0.2">
      <c r="A816" s="1">
        <v>811</v>
      </c>
      <c r="B816" t="str">
        <f>IF(ISERROR(MATCH(TRIM('Data Table'!D813),Settings!$G$15:$G$20,0)),TRIM('Data Table'!D813),LOOKUP(TRIM('Data Table'!D813),Settings!$G$15:$G$20,Settings!$H$15:$H$20))</f>
        <v>Randolph</v>
      </c>
      <c r="C816" t="str">
        <f>IF('Data Table'!F813="","SS",IF('Data Table'!F813="SF","SD",TRIM('Data Table'!F813)))</f>
        <v>SB</v>
      </c>
      <c r="D816" s="106">
        <f ca="1">IF(ISBLANK(OFFSET('Data Table'!$A811,2,Settings!$G$5-1)),"",OFFSET('Data Table'!$A811,2,Settings!$G$5-1))</f>
        <v>6</v>
      </c>
      <c r="E816" s="106" t="str">
        <f ca="1">IF(ISBLANK(OFFSET('Data Table'!$A811,2,Settings!$G$5)),"",OFFSET('Data Table'!$A811,2,Settings!$G$5))</f>
        <v/>
      </c>
      <c r="F816" s="143" t="str">
        <f ca="1">IF(ISBLANK(OFFSET('Data Table'!$A811,2,Settings!$G$5+1)),"",OFFSET('Data Table'!$A811,2,Settings!$G$5+1))</f>
        <v/>
      </c>
      <c r="G816">
        <f t="shared" ca="1" si="12"/>
        <v>6</v>
      </c>
      <c r="H816">
        <f ca="1">IF(G816=-888,"",IF(G816=-999,Settings!$G$4,IF(AND($AA$6="Excluded",G816&gt;=Settings!$G$2),"",G816)))</f>
        <v>6</v>
      </c>
      <c r="I816">
        <f ca="1">IF(OR(G816=-999,G816=-888,AND($AA$6="Excluded",G816&gt;=Settings!$G$2)),"",G816)</f>
        <v>6</v>
      </c>
      <c r="O816" s="46"/>
    </row>
    <row r="817" spans="1:15" x14ac:dyDescent="0.2">
      <c r="A817" s="1">
        <v>812</v>
      </c>
      <c r="B817" t="str">
        <f>IF(ISERROR(MATCH(TRIM('Data Table'!D814),Settings!$G$15:$G$20,0)),TRIM('Data Table'!D814),LOOKUP(TRIM('Data Table'!D814),Settings!$G$15:$G$20,Settings!$H$15:$H$20))</f>
        <v>Mecklenburg</v>
      </c>
      <c r="C817" t="str">
        <f>IF('Data Table'!F814="","SS",IF('Data Table'!F814="SF","SD",TRIM('Data Table'!F814)))</f>
        <v>SS</v>
      </c>
      <c r="D817" s="106">
        <f ca="1">IF(ISBLANK(OFFSET('Data Table'!$A812,2,Settings!$G$5-1)),"",OFFSET('Data Table'!$A812,2,Settings!$G$5-1))</f>
        <v>3.7</v>
      </c>
      <c r="E817" s="106" t="str">
        <f ca="1">IF(ISBLANK(OFFSET('Data Table'!$A812,2,Settings!$G$5)),"",OFFSET('Data Table'!$A812,2,Settings!$G$5))</f>
        <v/>
      </c>
      <c r="F817" s="143" t="str">
        <f ca="1">IF(ISBLANK(OFFSET('Data Table'!$A812,2,Settings!$G$5+1)),"",OFFSET('Data Table'!$A812,2,Settings!$G$5+1))</f>
        <v/>
      </c>
      <c r="G817">
        <f t="shared" ca="1" si="12"/>
        <v>3.7</v>
      </c>
      <c r="H817">
        <f ca="1">IF(G817=-888,"",IF(G817=-999,Settings!$G$4,IF(AND($AA$6="Excluded",G817&gt;=Settings!$G$2),"",G817)))</f>
        <v>3.7</v>
      </c>
      <c r="I817">
        <f ca="1">IF(OR(G817=-999,G817=-888,AND($AA$6="Excluded",G817&gt;=Settings!$G$2)),"",G817)</f>
        <v>3.7</v>
      </c>
      <c r="O817" s="46"/>
    </row>
    <row r="818" spans="1:15" x14ac:dyDescent="0.2">
      <c r="A818" s="1">
        <v>813</v>
      </c>
      <c r="B818" t="str">
        <f>IF(ISERROR(MATCH(TRIM('Data Table'!D815),Settings!$G$15:$G$20,0)),TRIM('Data Table'!D815),LOOKUP(TRIM('Data Table'!D815),Settings!$G$15:$G$20,Settings!$H$15:$H$20))</f>
        <v>Mecklenburg</v>
      </c>
      <c r="C818" t="str">
        <f>IF('Data Table'!F815="","SS",IF('Data Table'!F815="SF","SD",TRIM('Data Table'!F815)))</f>
        <v>SB</v>
      </c>
      <c r="D818" s="106">
        <f ca="1">IF(ISBLANK(OFFSET('Data Table'!$A813,2,Settings!$G$5-1)),"",OFFSET('Data Table'!$A813,2,Settings!$G$5-1))</f>
        <v>3.7</v>
      </c>
      <c r="E818" s="106" t="str">
        <f ca="1">IF(ISBLANK(OFFSET('Data Table'!$A813,2,Settings!$G$5)),"",OFFSET('Data Table'!$A813,2,Settings!$G$5))</f>
        <v/>
      </c>
      <c r="F818" s="143" t="str">
        <f ca="1">IF(ISBLANK(OFFSET('Data Table'!$A813,2,Settings!$G$5+1)),"",OFFSET('Data Table'!$A813,2,Settings!$G$5+1))</f>
        <v/>
      </c>
      <c r="G818">
        <f t="shared" ca="1" si="12"/>
        <v>3.7</v>
      </c>
      <c r="H818">
        <f ca="1">IF(G818=-888,"",IF(G818=-999,Settings!$G$4,IF(AND($AA$6="Excluded",G818&gt;=Settings!$G$2),"",G818)))</f>
        <v>3.7</v>
      </c>
      <c r="I818">
        <f ca="1">IF(OR(G818=-999,G818=-888,AND($AA$6="Excluded",G818&gt;=Settings!$G$2)),"",G818)</f>
        <v>3.7</v>
      </c>
      <c r="O818" s="46"/>
    </row>
    <row r="819" spans="1:15" x14ac:dyDescent="0.2">
      <c r="A819" s="1">
        <v>814</v>
      </c>
      <c r="B819" t="str">
        <f>IF(ISERROR(MATCH(TRIM('Data Table'!D816),Settings!$G$15:$G$20,0)),TRIM('Data Table'!D816),LOOKUP(TRIM('Data Table'!D816),Settings!$G$15:$G$20,Settings!$H$15:$H$20))</f>
        <v>Mecklenburg</v>
      </c>
      <c r="C819" t="str">
        <f>IF('Data Table'!F816="","SS",IF('Data Table'!F816="SF","SD",TRIM('Data Table'!F816)))</f>
        <v>SB</v>
      </c>
      <c r="D819" s="106">
        <f ca="1">IF(ISBLANK(OFFSET('Data Table'!$A814,2,Settings!$G$5-1)),"",OFFSET('Data Table'!$A814,2,Settings!$G$5-1))</f>
        <v>6</v>
      </c>
      <c r="E819" s="106" t="str">
        <f ca="1">IF(ISBLANK(OFFSET('Data Table'!$A814,2,Settings!$G$5)),"",OFFSET('Data Table'!$A814,2,Settings!$G$5))</f>
        <v/>
      </c>
      <c r="F819" s="143" t="str">
        <f ca="1">IF(ISBLANK(OFFSET('Data Table'!$A814,2,Settings!$G$5+1)),"",OFFSET('Data Table'!$A814,2,Settings!$G$5+1))</f>
        <v/>
      </c>
      <c r="G819">
        <f t="shared" ca="1" si="12"/>
        <v>6</v>
      </c>
      <c r="H819">
        <f ca="1">IF(G819=-888,"",IF(G819=-999,Settings!$G$4,IF(AND($AA$6="Excluded",G819&gt;=Settings!$G$2),"",G819)))</f>
        <v>6</v>
      </c>
      <c r="I819">
        <f ca="1">IF(OR(G819=-999,G819=-888,AND($AA$6="Excluded",G819&gt;=Settings!$G$2)),"",G819)</f>
        <v>6</v>
      </c>
      <c r="O819" s="46"/>
    </row>
    <row r="820" spans="1:15" x14ac:dyDescent="0.2">
      <c r="A820" s="1">
        <v>815</v>
      </c>
      <c r="B820" t="str">
        <f>IF(ISERROR(MATCH(TRIM('Data Table'!D817),Settings!$G$15:$G$20,0)),TRIM('Data Table'!D817),LOOKUP(TRIM('Data Table'!D817),Settings!$G$15:$G$20,Settings!$H$15:$H$20))</f>
        <v>Mecklenburg</v>
      </c>
      <c r="C820" t="str">
        <f>IF('Data Table'!F817="","SS",IF('Data Table'!F817="SF","SD",TRIM('Data Table'!F817)))</f>
        <v>SS</v>
      </c>
      <c r="D820" s="106">
        <f ca="1">IF(ISBLANK(OFFSET('Data Table'!$A815,2,Settings!$G$5-1)),"",OFFSET('Data Table'!$A815,2,Settings!$G$5-1))</f>
        <v>27.1</v>
      </c>
      <c r="E820" s="106" t="str">
        <f ca="1">IF(ISBLANK(OFFSET('Data Table'!$A815,2,Settings!$G$5)),"",OFFSET('Data Table'!$A815,2,Settings!$G$5))</f>
        <v/>
      </c>
      <c r="F820" s="143" t="str">
        <f ca="1">IF(ISBLANK(OFFSET('Data Table'!$A815,2,Settings!$G$5+1)),"",OFFSET('Data Table'!$A815,2,Settings!$G$5+1))</f>
        <v/>
      </c>
      <c r="G820">
        <f t="shared" ca="1" si="12"/>
        <v>27.1</v>
      </c>
      <c r="H820">
        <f ca="1">IF(G820=-888,"",IF(G820=-999,Settings!$G$4,IF(AND($AA$6="Excluded",G820&gt;=Settings!$G$2),"",G820)))</f>
        <v>27.1</v>
      </c>
      <c r="I820">
        <f ca="1">IF(OR(G820=-999,G820=-888,AND($AA$6="Excluded",G820&gt;=Settings!$G$2)),"",G820)</f>
        <v>27.1</v>
      </c>
      <c r="O820" s="46"/>
    </row>
    <row r="821" spans="1:15" x14ac:dyDescent="0.2">
      <c r="A821" s="1">
        <v>816</v>
      </c>
      <c r="B821" t="str">
        <f>IF(ISERROR(MATCH(TRIM('Data Table'!D818),Settings!$G$15:$G$20,0)),TRIM('Data Table'!D818),LOOKUP(TRIM('Data Table'!D818),Settings!$G$15:$G$20,Settings!$H$15:$H$20))</f>
        <v>Mecklenburg</v>
      </c>
      <c r="C821" t="str">
        <f>IF('Data Table'!F818="","SS",IF('Data Table'!F818="SF","SD",TRIM('Data Table'!F818)))</f>
        <v>SB</v>
      </c>
      <c r="D821" s="106" t="str">
        <f ca="1">IF(ISBLANK(OFFSET('Data Table'!$A816,2,Settings!$G$5-1)),"",OFFSET('Data Table'!$A816,2,Settings!$G$5-1))</f>
        <v/>
      </c>
      <c r="E821" s="106" t="str">
        <f ca="1">IF(ISBLANK(OFFSET('Data Table'!$A816,2,Settings!$G$5)),"",OFFSET('Data Table'!$A816,2,Settings!$G$5))</f>
        <v/>
      </c>
      <c r="F821" s="143">
        <f ca="1">IF(ISBLANK(OFFSET('Data Table'!$A816,2,Settings!$G$5+1)),"",OFFSET('Data Table'!$A816,2,Settings!$G$5+1))</f>
        <v>2.2000000000000002</v>
      </c>
      <c r="G821">
        <f t="shared" ca="1" si="12"/>
        <v>2.2000000000000002</v>
      </c>
      <c r="H821">
        <f ca="1">IF(G821=-888,"",IF(G821=-999,Settings!$G$4,IF(AND($AA$6="Excluded",G821&gt;=Settings!$G$2),"",G821)))</f>
        <v>2.2000000000000002</v>
      </c>
      <c r="I821">
        <f ca="1">IF(OR(G821=-999,G821=-888,AND($AA$6="Excluded",G821&gt;=Settings!$G$2)),"",G821)</f>
        <v>2.2000000000000002</v>
      </c>
      <c r="O821" s="46"/>
    </row>
    <row r="822" spans="1:15" x14ac:dyDescent="0.2">
      <c r="A822" s="1">
        <v>817</v>
      </c>
      <c r="B822" t="str">
        <f>IF(ISERROR(MATCH(TRIM('Data Table'!D819),Settings!$G$15:$G$20,0)),TRIM('Data Table'!D819),LOOKUP(TRIM('Data Table'!D819),Settings!$G$15:$G$20,Settings!$H$15:$H$20))</f>
        <v>Mecklenburg</v>
      </c>
      <c r="C822" t="str">
        <f>IF('Data Table'!F819="","SS",IF('Data Table'!F819="SF","SD",TRIM('Data Table'!F819)))</f>
        <v>SB</v>
      </c>
      <c r="D822" s="106">
        <f ca="1">IF(ISBLANK(OFFSET('Data Table'!$A817,2,Settings!$G$5-1)),"",OFFSET('Data Table'!$A817,2,Settings!$G$5-1))</f>
        <v>1.2</v>
      </c>
      <c r="E822" s="106" t="str">
        <f ca="1">IF(ISBLANK(OFFSET('Data Table'!$A817,2,Settings!$G$5)),"",OFFSET('Data Table'!$A817,2,Settings!$G$5))</f>
        <v/>
      </c>
      <c r="F822" s="143" t="str">
        <f ca="1">IF(ISBLANK(OFFSET('Data Table'!$A817,2,Settings!$G$5+1)),"",OFFSET('Data Table'!$A817,2,Settings!$G$5+1))</f>
        <v/>
      </c>
      <c r="G822">
        <f t="shared" ca="1" si="12"/>
        <v>1.2</v>
      </c>
      <c r="H822">
        <f ca="1">IF(G822=-888,"",IF(G822=-999,Settings!$G$4,IF(AND($AA$6="Excluded",G822&gt;=Settings!$G$2),"",G822)))</f>
        <v>1.2</v>
      </c>
      <c r="I822">
        <f ca="1">IF(OR(G822=-999,G822=-888,AND($AA$6="Excluded",G822&gt;=Settings!$G$2)),"",G822)</f>
        <v>1.2</v>
      </c>
      <c r="O822" s="46"/>
    </row>
    <row r="823" spans="1:15" x14ac:dyDescent="0.2">
      <c r="A823" s="1">
        <v>818</v>
      </c>
      <c r="B823" t="str">
        <f>IF(ISERROR(MATCH(TRIM('Data Table'!D820),Settings!$G$15:$G$20,0)),TRIM('Data Table'!D820),LOOKUP(TRIM('Data Table'!D820),Settings!$G$15:$G$20,Settings!$H$15:$H$20))</f>
        <v>Mecklenburg</v>
      </c>
      <c r="C823" t="str">
        <f>IF('Data Table'!F820="","SS",IF('Data Table'!F820="SF","SD",TRIM('Data Table'!F820)))</f>
        <v>SS</v>
      </c>
      <c r="D823" s="106">
        <f ca="1">IF(ISBLANK(OFFSET('Data Table'!$A818,2,Settings!$G$5-1)),"",OFFSET('Data Table'!$A818,2,Settings!$G$5-1))</f>
        <v>4.4000000000000004</v>
      </c>
      <c r="E823" s="106" t="str">
        <f ca="1">IF(ISBLANK(OFFSET('Data Table'!$A818,2,Settings!$G$5)),"",OFFSET('Data Table'!$A818,2,Settings!$G$5))</f>
        <v/>
      </c>
      <c r="F823" s="143" t="str">
        <f ca="1">IF(ISBLANK(OFFSET('Data Table'!$A818,2,Settings!$G$5+1)),"",OFFSET('Data Table'!$A818,2,Settings!$G$5+1))</f>
        <v/>
      </c>
      <c r="G823">
        <f t="shared" ca="1" si="12"/>
        <v>4.4000000000000004</v>
      </c>
      <c r="H823">
        <f ca="1">IF(G823=-888,"",IF(G823=-999,Settings!$G$4,IF(AND($AA$6="Excluded",G823&gt;=Settings!$G$2),"",G823)))</f>
        <v>4.4000000000000004</v>
      </c>
      <c r="I823">
        <f ca="1">IF(OR(G823=-999,G823=-888,AND($AA$6="Excluded",G823&gt;=Settings!$G$2)),"",G823)</f>
        <v>4.4000000000000004</v>
      </c>
      <c r="O823" s="46"/>
    </row>
    <row r="824" spans="1:15" x14ac:dyDescent="0.2">
      <c r="A824" s="1">
        <v>819</v>
      </c>
      <c r="B824" t="str">
        <f>IF(ISERROR(MATCH(TRIM('Data Table'!D821),Settings!$G$15:$G$20,0)),TRIM('Data Table'!D821),LOOKUP(TRIM('Data Table'!D821),Settings!$G$15:$G$20,Settings!$H$15:$H$20))</f>
        <v>Mecklenburg</v>
      </c>
      <c r="C824" t="str">
        <f>IF('Data Table'!F821="","SS",IF('Data Table'!F821="SF","SD",TRIM('Data Table'!F821)))</f>
        <v>SB</v>
      </c>
      <c r="D824" s="106">
        <f ca="1">IF(ISBLANK(OFFSET('Data Table'!$A819,2,Settings!$G$5-1)),"",OFFSET('Data Table'!$A819,2,Settings!$G$5-1))</f>
        <v>6.3</v>
      </c>
      <c r="E824" s="106" t="str">
        <f ca="1">IF(ISBLANK(OFFSET('Data Table'!$A819,2,Settings!$G$5)),"",OFFSET('Data Table'!$A819,2,Settings!$G$5))</f>
        <v/>
      </c>
      <c r="F824" s="143" t="str">
        <f ca="1">IF(ISBLANK(OFFSET('Data Table'!$A819,2,Settings!$G$5+1)),"",OFFSET('Data Table'!$A819,2,Settings!$G$5+1))</f>
        <v/>
      </c>
      <c r="G824">
        <f t="shared" ca="1" si="12"/>
        <v>6.3</v>
      </c>
      <c r="H824">
        <f ca="1">IF(G824=-888,"",IF(G824=-999,Settings!$G$4,IF(AND($AA$6="Excluded",G824&gt;=Settings!$G$2),"",G824)))</f>
        <v>6.3</v>
      </c>
      <c r="I824">
        <f ca="1">IF(OR(G824=-999,G824=-888,AND($AA$6="Excluded",G824&gt;=Settings!$G$2)),"",G824)</f>
        <v>6.3</v>
      </c>
      <c r="O824" s="46"/>
    </row>
    <row r="825" spans="1:15" x14ac:dyDescent="0.2">
      <c r="A825" s="1">
        <v>820</v>
      </c>
      <c r="B825" t="str">
        <f>IF(ISERROR(MATCH(TRIM('Data Table'!D822),Settings!$G$15:$G$20,0)),TRIM('Data Table'!D822),LOOKUP(TRIM('Data Table'!D822),Settings!$G$15:$G$20,Settings!$H$15:$H$20))</f>
        <v>Mecklenburg</v>
      </c>
      <c r="C825" t="str">
        <f>IF('Data Table'!F822="","SS",IF('Data Table'!F822="SF","SD",TRIM('Data Table'!F822)))</f>
        <v>SB</v>
      </c>
      <c r="D825" s="106">
        <f ca="1">IF(ISBLANK(OFFSET('Data Table'!$A820,2,Settings!$G$5-1)),"",OFFSET('Data Table'!$A820,2,Settings!$G$5-1))</f>
        <v>0.92</v>
      </c>
      <c r="E825" s="106" t="str">
        <f ca="1">IF(ISBLANK(OFFSET('Data Table'!$A820,2,Settings!$G$5)),"",OFFSET('Data Table'!$A820,2,Settings!$G$5))</f>
        <v/>
      </c>
      <c r="F825" s="143" t="str">
        <f ca="1">IF(ISBLANK(OFFSET('Data Table'!$A820,2,Settings!$G$5+1)),"",OFFSET('Data Table'!$A820,2,Settings!$G$5+1))</f>
        <v/>
      </c>
      <c r="G825">
        <f t="shared" ca="1" si="12"/>
        <v>0.92</v>
      </c>
      <c r="H825">
        <f ca="1">IF(G825=-888,"",IF(G825=-999,Settings!$G$4,IF(AND($AA$6="Excluded",G825&gt;=Settings!$G$2),"",G825)))</f>
        <v>0.92</v>
      </c>
      <c r="I825">
        <f ca="1">IF(OR(G825=-999,G825=-888,AND($AA$6="Excluded",G825&gt;=Settings!$G$2)),"",G825)</f>
        <v>0.92</v>
      </c>
      <c r="O825" s="46"/>
    </row>
    <row r="826" spans="1:15" x14ac:dyDescent="0.2">
      <c r="A826" s="1">
        <v>821</v>
      </c>
      <c r="B826" t="str">
        <f>IF(ISERROR(MATCH(TRIM('Data Table'!D823),Settings!$G$15:$G$20,0)),TRIM('Data Table'!D823),LOOKUP(TRIM('Data Table'!D823),Settings!$G$15:$G$20,Settings!$H$15:$H$20))</f>
        <v>Duplin</v>
      </c>
      <c r="C826" t="str">
        <f>IF('Data Table'!F823="","SS",IF('Data Table'!F823="SF","SD",TRIM('Data Table'!F823)))</f>
        <v>SS</v>
      </c>
      <c r="D826" s="106" t="str">
        <f ca="1">IF(ISBLANK(OFFSET('Data Table'!$A821,2,Settings!$G$5-1)),"",OFFSET('Data Table'!$A821,2,Settings!$G$5-1))</f>
        <v/>
      </c>
      <c r="E826" s="106">
        <f ca="1">IF(ISBLANK(OFFSET('Data Table'!$A821,2,Settings!$G$5)),"",OFFSET('Data Table'!$A821,2,Settings!$G$5))</f>
        <v>4.1760000000000002</v>
      </c>
      <c r="F826" s="143" t="str">
        <f ca="1">IF(ISBLANK(OFFSET('Data Table'!$A821,2,Settings!$G$5+1)),"",OFFSET('Data Table'!$A821,2,Settings!$G$5+1))</f>
        <v/>
      </c>
      <c r="G826">
        <f t="shared" ca="1" si="12"/>
        <v>4.1760000000000002</v>
      </c>
      <c r="H826">
        <f ca="1">IF(G826=-888,"",IF(G826=-999,Settings!$G$4,IF(AND($AA$6="Excluded",G826&gt;=Settings!$G$2),"",G826)))</f>
        <v>4.1760000000000002</v>
      </c>
      <c r="I826">
        <f ca="1">IF(OR(G826=-999,G826=-888,AND($AA$6="Excluded",G826&gt;=Settings!$G$2)),"",G826)</f>
        <v>4.1760000000000002</v>
      </c>
      <c r="O826" s="46"/>
    </row>
    <row r="827" spans="1:15" x14ac:dyDescent="0.2">
      <c r="A827" s="1">
        <v>822</v>
      </c>
      <c r="B827" t="str">
        <f>IF(ISERROR(MATCH(TRIM('Data Table'!D824),Settings!$G$15:$G$20,0)),TRIM('Data Table'!D824),LOOKUP(TRIM('Data Table'!D824),Settings!$G$15:$G$20,Settings!$H$15:$H$20))</f>
        <v>Halifax</v>
      </c>
      <c r="C827" t="str">
        <f>IF('Data Table'!F824="","SS",IF('Data Table'!F824="SF","SD",TRIM('Data Table'!F824)))</f>
        <v>SS</v>
      </c>
      <c r="D827" s="106">
        <f ca="1">IF(ISBLANK(OFFSET('Data Table'!$A822,2,Settings!$G$5-1)),"",OFFSET('Data Table'!$A822,2,Settings!$G$5-1))</f>
        <v>7.6</v>
      </c>
      <c r="E827" s="106" t="str">
        <f ca="1">IF(ISBLANK(OFFSET('Data Table'!$A822,2,Settings!$G$5)),"",OFFSET('Data Table'!$A822,2,Settings!$G$5))</f>
        <v/>
      </c>
      <c r="F827" s="143" t="str">
        <f ca="1">IF(ISBLANK(OFFSET('Data Table'!$A822,2,Settings!$G$5+1)),"",OFFSET('Data Table'!$A822,2,Settings!$G$5+1))</f>
        <v/>
      </c>
      <c r="G827">
        <f t="shared" ca="1" si="12"/>
        <v>7.6</v>
      </c>
      <c r="H827">
        <f ca="1">IF(G827=-888,"",IF(G827=-999,Settings!$G$4,IF(AND($AA$6="Excluded",G827&gt;=Settings!$G$2),"",G827)))</f>
        <v>7.6</v>
      </c>
      <c r="I827">
        <f ca="1">IF(OR(G827=-999,G827=-888,AND($AA$6="Excluded",G827&gt;=Settings!$G$2)),"",G827)</f>
        <v>7.6</v>
      </c>
      <c r="O827" s="46"/>
    </row>
    <row r="828" spans="1:15" x14ac:dyDescent="0.2">
      <c r="A828" s="1">
        <v>823</v>
      </c>
      <c r="B828" t="str">
        <f>IF(ISERROR(MATCH(TRIM('Data Table'!D825),Settings!$G$15:$G$20,0)),TRIM('Data Table'!D825),LOOKUP(TRIM('Data Table'!D825),Settings!$G$15:$G$20,Settings!$H$15:$H$20))</f>
        <v>Halifax</v>
      </c>
      <c r="C828" t="str">
        <f>IF('Data Table'!F825="","SS",IF('Data Table'!F825="SF","SD",TRIM('Data Table'!F825)))</f>
        <v>SD</v>
      </c>
      <c r="D828" s="106">
        <f ca="1">IF(ISBLANK(OFFSET('Data Table'!$A823,2,Settings!$G$5-1)),"",OFFSET('Data Table'!$A823,2,Settings!$G$5-1))</f>
        <v>30</v>
      </c>
      <c r="E828" s="106" t="str">
        <f ca="1">IF(ISBLANK(OFFSET('Data Table'!$A823,2,Settings!$G$5)),"",OFFSET('Data Table'!$A823,2,Settings!$G$5))</f>
        <v/>
      </c>
      <c r="F828" s="143" t="str">
        <f ca="1">IF(ISBLANK(OFFSET('Data Table'!$A823,2,Settings!$G$5+1)),"",OFFSET('Data Table'!$A823,2,Settings!$G$5+1))</f>
        <v/>
      </c>
      <c r="G828">
        <f t="shared" ca="1" si="12"/>
        <v>30</v>
      </c>
      <c r="H828">
        <f ca="1">IF(G828=-888,"",IF(G828=-999,Settings!$G$4,IF(AND($AA$6="Excluded",G828&gt;=Settings!$G$2),"",G828)))</f>
        <v>30</v>
      </c>
      <c r="I828">
        <f ca="1">IF(OR(G828=-999,G828=-888,AND($AA$6="Excluded",G828&gt;=Settings!$G$2)),"",G828)</f>
        <v>30</v>
      </c>
      <c r="O828" s="46"/>
    </row>
    <row r="829" spans="1:15" x14ac:dyDescent="0.2">
      <c r="A829" s="1">
        <v>824</v>
      </c>
      <c r="B829" t="str">
        <f>IF(ISERROR(MATCH(TRIM('Data Table'!D826),Settings!$G$15:$G$20,0)),TRIM('Data Table'!D826),LOOKUP(TRIM('Data Table'!D826),Settings!$G$15:$G$20,Settings!$H$15:$H$20))</f>
        <v>Columbus</v>
      </c>
      <c r="C829" t="str">
        <f>IF('Data Table'!F826="","SS",IF('Data Table'!F826="SF","SD",TRIM('Data Table'!F826)))</f>
        <v>SS</v>
      </c>
      <c r="D829" s="106">
        <f ca="1">IF(ISBLANK(OFFSET('Data Table'!$A824,2,Settings!$G$5-1)),"",OFFSET('Data Table'!$A824,2,Settings!$G$5-1))</f>
        <v>14</v>
      </c>
      <c r="E829" s="106" t="str">
        <f ca="1">IF(ISBLANK(OFFSET('Data Table'!$A824,2,Settings!$G$5)),"",OFFSET('Data Table'!$A824,2,Settings!$G$5))</f>
        <v/>
      </c>
      <c r="F829" s="143" t="str">
        <f ca="1">IF(ISBLANK(OFFSET('Data Table'!$A824,2,Settings!$G$5+1)),"",OFFSET('Data Table'!$A824,2,Settings!$G$5+1))</f>
        <v/>
      </c>
      <c r="G829">
        <f t="shared" ca="1" si="12"/>
        <v>14</v>
      </c>
      <c r="H829">
        <f ca="1">IF(G829=-888,"",IF(G829=-999,Settings!$G$4,IF(AND($AA$6="Excluded",G829&gt;=Settings!$G$2),"",G829)))</f>
        <v>14</v>
      </c>
      <c r="I829">
        <f ca="1">IF(OR(G829=-999,G829=-888,AND($AA$6="Excluded",G829&gt;=Settings!$G$2)),"",G829)</f>
        <v>14</v>
      </c>
      <c r="O829" s="46"/>
    </row>
    <row r="830" spans="1:15" x14ac:dyDescent="0.2">
      <c r="A830" s="1">
        <v>825</v>
      </c>
      <c r="B830" t="str">
        <f>IF(ISERROR(MATCH(TRIM('Data Table'!D827),Settings!$G$15:$G$20,0)),TRIM('Data Table'!D827),LOOKUP(TRIM('Data Table'!D827),Settings!$G$15:$G$20,Settings!$H$15:$H$20))</f>
        <v>New Hanover</v>
      </c>
      <c r="C830" t="str">
        <f>IF('Data Table'!F827="","SS",IF('Data Table'!F827="SF","SD",TRIM('Data Table'!F827)))</f>
        <v>SS</v>
      </c>
      <c r="D830" s="106">
        <f ca="1">IF(ISBLANK(OFFSET('Data Table'!$A825,2,Settings!$G$5-1)),"",OFFSET('Data Table'!$A825,2,Settings!$G$5-1))</f>
        <v>2.5</v>
      </c>
      <c r="E830" s="106" t="str">
        <f ca="1">IF(ISBLANK(OFFSET('Data Table'!$A825,2,Settings!$G$5)),"",OFFSET('Data Table'!$A825,2,Settings!$G$5))</f>
        <v/>
      </c>
      <c r="F830" s="143" t="str">
        <f ca="1">IF(ISBLANK(OFFSET('Data Table'!$A825,2,Settings!$G$5+1)),"",OFFSET('Data Table'!$A825,2,Settings!$G$5+1))</f>
        <v/>
      </c>
      <c r="G830">
        <f t="shared" ca="1" si="12"/>
        <v>2.5</v>
      </c>
      <c r="H830">
        <f ca="1">IF(G830=-888,"",IF(G830=-999,Settings!$G$4,IF(AND($AA$6="Excluded",G830&gt;=Settings!$G$2),"",G830)))</f>
        <v>2.5</v>
      </c>
      <c r="I830">
        <f ca="1">IF(OR(G830=-999,G830=-888,AND($AA$6="Excluded",G830&gt;=Settings!$G$2)),"",G830)</f>
        <v>2.5</v>
      </c>
      <c r="O830" s="46"/>
    </row>
    <row r="831" spans="1:15" x14ac:dyDescent="0.2">
      <c r="A831" s="1">
        <v>826</v>
      </c>
      <c r="B831" t="str">
        <f>IF(ISERROR(MATCH(TRIM('Data Table'!D828),Settings!$G$15:$G$20,0)),TRIM('Data Table'!D828),LOOKUP(TRIM('Data Table'!D828),Settings!$G$15:$G$20,Settings!$H$15:$H$20))</f>
        <v>New Hanover</v>
      </c>
      <c r="C831" t="str">
        <f>IF('Data Table'!F828="","SS",IF('Data Table'!F828="SF","SD",TRIM('Data Table'!F828)))</f>
        <v>SB</v>
      </c>
      <c r="D831" s="106">
        <f ca="1">IF(ISBLANK(OFFSET('Data Table'!$A826,2,Settings!$G$5-1)),"",OFFSET('Data Table'!$A826,2,Settings!$G$5-1))</f>
        <v>2.2999999999999998</v>
      </c>
      <c r="E831" s="106" t="str">
        <f ca="1">IF(ISBLANK(OFFSET('Data Table'!$A826,2,Settings!$G$5)),"",OFFSET('Data Table'!$A826,2,Settings!$G$5))</f>
        <v/>
      </c>
      <c r="F831" s="143" t="str">
        <f ca="1">IF(ISBLANK(OFFSET('Data Table'!$A826,2,Settings!$G$5+1)),"",OFFSET('Data Table'!$A826,2,Settings!$G$5+1))</f>
        <v/>
      </c>
      <c r="G831">
        <f t="shared" ca="1" si="12"/>
        <v>2.2999999999999998</v>
      </c>
      <c r="H831">
        <f ca="1">IF(G831=-888,"",IF(G831=-999,Settings!$G$4,IF(AND($AA$6="Excluded",G831&gt;=Settings!$G$2),"",G831)))</f>
        <v>2.2999999999999998</v>
      </c>
      <c r="I831">
        <f ca="1">IF(OR(G831=-999,G831=-888,AND($AA$6="Excluded",G831&gt;=Settings!$G$2)),"",G831)</f>
        <v>2.2999999999999998</v>
      </c>
      <c r="O831" s="46"/>
    </row>
    <row r="832" spans="1:15" x14ac:dyDescent="0.2">
      <c r="A832" s="1">
        <v>827</v>
      </c>
      <c r="B832" t="str">
        <f>IF(ISERROR(MATCH(TRIM('Data Table'!D829),Settings!$G$15:$G$20,0)),TRIM('Data Table'!D829),LOOKUP(TRIM('Data Table'!D829),Settings!$G$15:$G$20,Settings!$H$15:$H$20))</f>
        <v>New Hanover</v>
      </c>
      <c r="C832" t="str">
        <f>IF('Data Table'!F829="","SS",IF('Data Table'!F829="SF","SD",TRIM('Data Table'!F829)))</f>
        <v>SS</v>
      </c>
      <c r="D832" s="106">
        <f ca="1">IF(ISBLANK(OFFSET('Data Table'!$A827,2,Settings!$G$5-1)),"",OFFSET('Data Table'!$A827,2,Settings!$G$5-1))</f>
        <v>2.2999999999999998</v>
      </c>
      <c r="E832" s="106" t="str">
        <f ca="1">IF(ISBLANK(OFFSET('Data Table'!$A827,2,Settings!$G$5)),"",OFFSET('Data Table'!$A827,2,Settings!$G$5))</f>
        <v/>
      </c>
      <c r="F832" s="143" t="str">
        <f ca="1">IF(ISBLANK(OFFSET('Data Table'!$A827,2,Settings!$G$5+1)),"",OFFSET('Data Table'!$A827,2,Settings!$G$5+1))</f>
        <v/>
      </c>
      <c r="G832">
        <f t="shared" ca="1" si="12"/>
        <v>2.2999999999999998</v>
      </c>
      <c r="H832">
        <f ca="1">IF(G832=-888,"",IF(G832=-999,Settings!$G$4,IF(AND($AA$6="Excluded",G832&gt;=Settings!$G$2),"",G832)))</f>
        <v>2.2999999999999998</v>
      </c>
      <c r="I832">
        <f ca="1">IF(OR(G832=-999,G832=-888,AND($AA$6="Excluded",G832&gt;=Settings!$G$2)),"",G832)</f>
        <v>2.2999999999999998</v>
      </c>
      <c r="O832" s="46"/>
    </row>
    <row r="833" spans="1:15" x14ac:dyDescent="0.2">
      <c r="A833" s="1">
        <v>828</v>
      </c>
      <c r="B833" t="str">
        <f>IF(ISERROR(MATCH(TRIM('Data Table'!D830),Settings!$G$15:$G$20,0)),TRIM('Data Table'!D830),LOOKUP(TRIM('Data Table'!D830),Settings!$G$15:$G$20,Settings!$H$15:$H$20))</f>
        <v>New Hanover</v>
      </c>
      <c r="C833" t="str">
        <f>IF('Data Table'!F830="","SS",IF('Data Table'!F830="SF","SD",TRIM('Data Table'!F830)))</f>
        <v>SB</v>
      </c>
      <c r="D833" s="106">
        <f ca="1">IF(ISBLANK(OFFSET('Data Table'!$A828,2,Settings!$G$5-1)),"",OFFSET('Data Table'!$A828,2,Settings!$G$5-1))</f>
        <v>2.2000000000000002</v>
      </c>
      <c r="E833" s="106" t="str">
        <f ca="1">IF(ISBLANK(OFFSET('Data Table'!$A828,2,Settings!$G$5)),"",OFFSET('Data Table'!$A828,2,Settings!$G$5))</f>
        <v/>
      </c>
      <c r="F833" s="143" t="str">
        <f ca="1">IF(ISBLANK(OFFSET('Data Table'!$A828,2,Settings!$G$5+1)),"",OFFSET('Data Table'!$A828,2,Settings!$G$5+1))</f>
        <v/>
      </c>
      <c r="G833">
        <f t="shared" ca="1" si="12"/>
        <v>2.2000000000000002</v>
      </c>
      <c r="H833">
        <f ca="1">IF(G833=-888,"",IF(G833=-999,Settings!$G$4,IF(AND($AA$6="Excluded",G833&gt;=Settings!$G$2),"",G833)))</f>
        <v>2.2000000000000002</v>
      </c>
      <c r="I833">
        <f ca="1">IF(OR(G833=-999,G833=-888,AND($AA$6="Excluded",G833&gt;=Settings!$G$2)),"",G833)</f>
        <v>2.2000000000000002</v>
      </c>
      <c r="O833" s="46"/>
    </row>
    <row r="834" spans="1:15" x14ac:dyDescent="0.2">
      <c r="A834" s="1">
        <v>829</v>
      </c>
      <c r="B834" t="str">
        <f>IF(ISERROR(MATCH(TRIM('Data Table'!D831),Settings!$G$15:$G$20,0)),TRIM('Data Table'!D831),LOOKUP(TRIM('Data Table'!D831),Settings!$G$15:$G$20,Settings!$H$15:$H$20))</f>
        <v>New Hanover</v>
      </c>
      <c r="C834" t="str">
        <f>IF('Data Table'!F831="","SS",IF('Data Table'!F831="SF","SD",TRIM('Data Table'!F831)))</f>
        <v>SS</v>
      </c>
      <c r="D834" s="106">
        <f ca="1">IF(ISBLANK(OFFSET('Data Table'!$A829,2,Settings!$G$5-1)),"",OFFSET('Data Table'!$A829,2,Settings!$G$5-1))</f>
        <v>3</v>
      </c>
      <c r="E834" s="106" t="str">
        <f ca="1">IF(ISBLANK(OFFSET('Data Table'!$A829,2,Settings!$G$5)),"",OFFSET('Data Table'!$A829,2,Settings!$G$5))</f>
        <v/>
      </c>
      <c r="F834" s="143" t="str">
        <f ca="1">IF(ISBLANK(OFFSET('Data Table'!$A829,2,Settings!$G$5+1)),"",OFFSET('Data Table'!$A829,2,Settings!$G$5+1))</f>
        <v/>
      </c>
      <c r="G834">
        <f t="shared" ca="1" si="12"/>
        <v>3</v>
      </c>
      <c r="H834">
        <f ca="1">IF(G834=-888,"",IF(G834=-999,Settings!$G$4,IF(AND($AA$6="Excluded",G834&gt;=Settings!$G$2),"",G834)))</f>
        <v>3</v>
      </c>
      <c r="I834">
        <f ca="1">IF(OR(G834=-999,G834=-888,AND($AA$6="Excluded",G834&gt;=Settings!$G$2)),"",G834)</f>
        <v>3</v>
      </c>
      <c r="O834" s="46"/>
    </row>
    <row r="835" spans="1:15" x14ac:dyDescent="0.2">
      <c r="A835" s="1">
        <v>830</v>
      </c>
      <c r="B835" t="str">
        <f>IF(ISERROR(MATCH(TRIM('Data Table'!D832),Settings!$G$15:$G$20,0)),TRIM('Data Table'!D832),LOOKUP(TRIM('Data Table'!D832),Settings!$G$15:$G$20,Settings!$H$15:$H$20))</f>
        <v>New Hanover</v>
      </c>
      <c r="C835" t="str">
        <f>IF('Data Table'!F832="","SS",IF('Data Table'!F832="SF","SD",TRIM('Data Table'!F832)))</f>
        <v>SB</v>
      </c>
      <c r="D835" s="106">
        <f ca="1">IF(ISBLANK(OFFSET('Data Table'!$A830,2,Settings!$G$5-1)),"",OFFSET('Data Table'!$A830,2,Settings!$G$5-1))</f>
        <v>2.2000000000000002</v>
      </c>
      <c r="E835" s="106" t="str">
        <f ca="1">IF(ISBLANK(OFFSET('Data Table'!$A830,2,Settings!$G$5)),"",OFFSET('Data Table'!$A830,2,Settings!$G$5))</f>
        <v/>
      </c>
      <c r="F835" s="143" t="str">
        <f ca="1">IF(ISBLANK(OFFSET('Data Table'!$A830,2,Settings!$G$5+1)),"",OFFSET('Data Table'!$A830,2,Settings!$G$5+1))</f>
        <v/>
      </c>
      <c r="G835">
        <f t="shared" ca="1" si="12"/>
        <v>2.2000000000000002</v>
      </c>
      <c r="H835">
        <f ca="1">IF(G835=-888,"",IF(G835=-999,Settings!$G$4,IF(AND($AA$6="Excluded",G835&gt;=Settings!$G$2),"",G835)))</f>
        <v>2.2000000000000002</v>
      </c>
      <c r="I835">
        <f ca="1">IF(OR(G835=-999,G835=-888,AND($AA$6="Excluded",G835&gt;=Settings!$G$2)),"",G835)</f>
        <v>2.2000000000000002</v>
      </c>
      <c r="O835" s="46"/>
    </row>
    <row r="836" spans="1:15" x14ac:dyDescent="0.2">
      <c r="A836" s="1">
        <v>831</v>
      </c>
      <c r="B836" t="str">
        <f>IF(ISERROR(MATCH(TRIM('Data Table'!D833),Settings!$G$15:$G$20,0)),TRIM('Data Table'!D833),LOOKUP(TRIM('Data Table'!D833),Settings!$G$15:$G$20,Settings!$H$15:$H$20))</f>
        <v>New Hanover</v>
      </c>
      <c r="C836" t="str">
        <f>IF('Data Table'!F833="","SS",IF('Data Table'!F833="SF","SD",TRIM('Data Table'!F833)))</f>
        <v>SS</v>
      </c>
      <c r="D836" s="106">
        <f ca="1">IF(ISBLANK(OFFSET('Data Table'!$A831,2,Settings!$G$5-1)),"",OFFSET('Data Table'!$A831,2,Settings!$G$5-1))</f>
        <v>3</v>
      </c>
      <c r="E836" s="106" t="str">
        <f ca="1">IF(ISBLANK(OFFSET('Data Table'!$A831,2,Settings!$G$5)),"",OFFSET('Data Table'!$A831,2,Settings!$G$5))</f>
        <v/>
      </c>
      <c r="F836" s="143" t="str">
        <f ca="1">IF(ISBLANK(OFFSET('Data Table'!$A831,2,Settings!$G$5+1)),"",OFFSET('Data Table'!$A831,2,Settings!$G$5+1))</f>
        <v/>
      </c>
      <c r="G836">
        <f t="shared" ca="1" si="12"/>
        <v>3</v>
      </c>
      <c r="H836">
        <f ca="1">IF(G836=-888,"",IF(G836=-999,Settings!$G$4,IF(AND($AA$6="Excluded",G836&gt;=Settings!$G$2),"",G836)))</f>
        <v>3</v>
      </c>
      <c r="I836">
        <f ca="1">IF(OR(G836=-999,G836=-888,AND($AA$6="Excluded",G836&gt;=Settings!$G$2)),"",G836)</f>
        <v>3</v>
      </c>
      <c r="O836" s="46"/>
    </row>
    <row r="837" spans="1:15" x14ac:dyDescent="0.2">
      <c r="A837" s="1">
        <v>832</v>
      </c>
      <c r="B837" t="str">
        <f>IF(ISERROR(MATCH(TRIM('Data Table'!D834),Settings!$G$15:$G$20,0)),TRIM('Data Table'!D834),LOOKUP(TRIM('Data Table'!D834),Settings!$G$15:$G$20,Settings!$H$15:$H$20))</f>
        <v>New Hanover</v>
      </c>
      <c r="C837" t="str">
        <f>IF('Data Table'!F834="","SS",IF('Data Table'!F834="SF","SD",TRIM('Data Table'!F834)))</f>
        <v>SB</v>
      </c>
      <c r="D837" s="106">
        <f ca="1">IF(ISBLANK(OFFSET('Data Table'!$A832,2,Settings!$G$5-1)),"",OFFSET('Data Table'!$A832,2,Settings!$G$5-1))</f>
        <v>2.2999999999999998</v>
      </c>
      <c r="E837" s="106" t="str">
        <f ca="1">IF(ISBLANK(OFFSET('Data Table'!$A832,2,Settings!$G$5)),"",OFFSET('Data Table'!$A832,2,Settings!$G$5))</f>
        <v/>
      </c>
      <c r="F837" s="143" t="str">
        <f ca="1">IF(ISBLANK(OFFSET('Data Table'!$A832,2,Settings!$G$5+1)),"",OFFSET('Data Table'!$A832,2,Settings!$G$5+1))</f>
        <v/>
      </c>
      <c r="G837">
        <f t="shared" ca="1" si="12"/>
        <v>2.2999999999999998</v>
      </c>
      <c r="H837">
        <f ca="1">IF(G837=-888,"",IF(G837=-999,Settings!$G$4,IF(AND($AA$6="Excluded",G837&gt;=Settings!$G$2),"",G837)))</f>
        <v>2.2999999999999998</v>
      </c>
      <c r="I837">
        <f ca="1">IF(OR(G837=-999,G837=-888,AND($AA$6="Excluded",G837&gt;=Settings!$G$2)),"",G837)</f>
        <v>2.2999999999999998</v>
      </c>
      <c r="O837" s="46"/>
    </row>
    <row r="838" spans="1:15" x14ac:dyDescent="0.2">
      <c r="A838" s="1">
        <v>833</v>
      </c>
      <c r="B838" t="str">
        <f>IF(ISERROR(MATCH(TRIM('Data Table'!D835),Settings!$G$15:$G$20,0)),TRIM('Data Table'!D835),LOOKUP(TRIM('Data Table'!D835),Settings!$G$15:$G$20,Settings!$H$15:$H$20))</f>
        <v>New Hanover</v>
      </c>
      <c r="C838" t="str">
        <f>IF('Data Table'!F835="","SS",IF('Data Table'!F835="SF","SD",TRIM('Data Table'!F835)))</f>
        <v>SB</v>
      </c>
      <c r="D838" s="106">
        <f ca="1">IF(ISBLANK(OFFSET('Data Table'!$A833,2,Settings!$G$5-1)),"",OFFSET('Data Table'!$A833,2,Settings!$G$5-1))</f>
        <v>2.9</v>
      </c>
      <c r="E838" s="106" t="str">
        <f ca="1">IF(ISBLANK(OFFSET('Data Table'!$A833,2,Settings!$G$5)),"",OFFSET('Data Table'!$A833,2,Settings!$G$5))</f>
        <v/>
      </c>
      <c r="F838" s="143" t="str">
        <f ca="1">IF(ISBLANK(OFFSET('Data Table'!$A833,2,Settings!$G$5+1)),"",OFFSET('Data Table'!$A833,2,Settings!$G$5+1))</f>
        <v/>
      </c>
      <c r="G838">
        <f t="shared" ref="G838:G857" ca="1" si="13">IF(COUNTIF(SOIL_DEPTH,C838)=0,"",IF(OR(D838="#",E838="#",F838="#"),-999,IF(AND(D838="",E838="",F838=""),-888,IF(COUNT(D838:F838)&gt;1,"ERROR",MAX(D838:F838)))))</f>
        <v>2.9</v>
      </c>
      <c r="H838">
        <f ca="1">IF(G838=-888,"",IF(G838=-999,Settings!$G$4,IF(AND($AA$6="Excluded",G838&gt;=Settings!$G$2),"",G838)))</f>
        <v>2.9</v>
      </c>
      <c r="I838">
        <f ca="1">IF(OR(G838=-999,G838=-888,AND($AA$6="Excluded",G838&gt;=Settings!$G$2)),"",G838)</f>
        <v>2.9</v>
      </c>
      <c r="O838" s="46"/>
    </row>
    <row r="839" spans="1:15" x14ac:dyDescent="0.2">
      <c r="A839" s="1">
        <v>834</v>
      </c>
      <c r="B839" t="str">
        <f>IF(ISERROR(MATCH(TRIM('Data Table'!D836),Settings!$G$15:$G$20,0)),TRIM('Data Table'!D836),LOOKUP(TRIM('Data Table'!D836),Settings!$G$15:$G$20,Settings!$H$15:$H$20))</f>
        <v>New Hanover</v>
      </c>
      <c r="C839" t="str">
        <f>IF('Data Table'!F836="","SS",IF('Data Table'!F836="SF","SD",TRIM('Data Table'!F836)))</f>
        <v>SS</v>
      </c>
      <c r="D839" s="106">
        <f ca="1">IF(ISBLANK(OFFSET('Data Table'!$A834,2,Settings!$G$5-1)),"",OFFSET('Data Table'!$A834,2,Settings!$G$5-1))</f>
        <v>3.4</v>
      </c>
      <c r="E839" s="106" t="str">
        <f ca="1">IF(ISBLANK(OFFSET('Data Table'!$A834,2,Settings!$G$5)),"",OFFSET('Data Table'!$A834,2,Settings!$G$5))</f>
        <v/>
      </c>
      <c r="F839" s="143" t="str">
        <f ca="1">IF(ISBLANK(OFFSET('Data Table'!$A834,2,Settings!$G$5+1)),"",OFFSET('Data Table'!$A834,2,Settings!$G$5+1))</f>
        <v/>
      </c>
      <c r="G839">
        <f t="shared" ca="1" si="13"/>
        <v>3.4</v>
      </c>
      <c r="H839">
        <f ca="1">IF(G839=-888,"",IF(G839=-999,Settings!$G$4,IF(AND($AA$6="Excluded",G839&gt;=Settings!$G$2),"",G839)))</f>
        <v>3.4</v>
      </c>
      <c r="I839">
        <f ca="1">IF(OR(G839=-999,G839=-888,AND($AA$6="Excluded",G839&gt;=Settings!$G$2)),"",G839)</f>
        <v>3.4</v>
      </c>
      <c r="O839" s="46"/>
    </row>
    <row r="840" spans="1:15" x14ac:dyDescent="0.2">
      <c r="A840" s="1">
        <v>835</v>
      </c>
      <c r="B840" t="str">
        <f>IF(ISERROR(MATCH(TRIM('Data Table'!D837),Settings!$G$15:$G$20,0)),TRIM('Data Table'!D837),LOOKUP(TRIM('Data Table'!D837),Settings!$G$15:$G$20,Settings!$H$15:$H$20))</f>
        <v>New Hanover</v>
      </c>
      <c r="C840" t="str">
        <f>IF('Data Table'!F837="","SS",IF('Data Table'!F837="SF","SD",TRIM('Data Table'!F837)))</f>
        <v>SS</v>
      </c>
      <c r="D840" s="106">
        <f ca="1">IF(ISBLANK(OFFSET('Data Table'!$A835,2,Settings!$G$5-1)),"",OFFSET('Data Table'!$A835,2,Settings!$G$5-1))</f>
        <v>2.9</v>
      </c>
      <c r="E840" s="106" t="str">
        <f ca="1">IF(ISBLANK(OFFSET('Data Table'!$A835,2,Settings!$G$5)),"",OFFSET('Data Table'!$A835,2,Settings!$G$5))</f>
        <v/>
      </c>
      <c r="F840" s="143" t="str">
        <f ca="1">IF(ISBLANK(OFFSET('Data Table'!$A835,2,Settings!$G$5+1)),"",OFFSET('Data Table'!$A835,2,Settings!$G$5+1))</f>
        <v/>
      </c>
      <c r="G840">
        <f t="shared" ca="1" si="13"/>
        <v>2.9</v>
      </c>
      <c r="H840">
        <f ca="1">IF(G840=-888,"",IF(G840=-999,Settings!$G$4,IF(AND($AA$6="Excluded",G840&gt;=Settings!$G$2),"",G840)))</f>
        <v>2.9</v>
      </c>
      <c r="I840">
        <f ca="1">IF(OR(G840=-999,G840=-888,AND($AA$6="Excluded",G840&gt;=Settings!$G$2)),"",G840)</f>
        <v>2.9</v>
      </c>
      <c r="O840" s="46"/>
    </row>
    <row r="841" spans="1:15" x14ac:dyDescent="0.2">
      <c r="A841" s="1">
        <v>836</v>
      </c>
      <c r="B841" t="str">
        <f>IF(ISERROR(MATCH(TRIM('Data Table'!D838),Settings!$G$15:$G$20,0)),TRIM('Data Table'!D838),LOOKUP(TRIM('Data Table'!D838),Settings!$G$15:$G$20,Settings!$H$15:$H$20))</f>
        <v>New Hanover</v>
      </c>
      <c r="C841" t="str">
        <f>IF('Data Table'!F838="","SS",IF('Data Table'!F838="SF","SD",TRIM('Data Table'!F838)))</f>
        <v>SS</v>
      </c>
      <c r="D841" s="106">
        <f ca="1">IF(ISBLANK(OFFSET('Data Table'!$A836,2,Settings!$G$5-1)),"",OFFSET('Data Table'!$A836,2,Settings!$G$5-1))</f>
        <v>5.2</v>
      </c>
      <c r="E841" s="106" t="str">
        <f ca="1">IF(ISBLANK(OFFSET('Data Table'!$A836,2,Settings!$G$5)),"",OFFSET('Data Table'!$A836,2,Settings!$G$5))</f>
        <v/>
      </c>
      <c r="F841" s="143" t="str">
        <f ca="1">IF(ISBLANK(OFFSET('Data Table'!$A836,2,Settings!$G$5+1)),"",OFFSET('Data Table'!$A836,2,Settings!$G$5+1))</f>
        <v/>
      </c>
      <c r="G841">
        <f t="shared" ca="1" si="13"/>
        <v>5.2</v>
      </c>
      <c r="H841">
        <f ca="1">IF(G841=-888,"",IF(G841=-999,Settings!$G$4,IF(AND($AA$6="Excluded",G841&gt;=Settings!$G$2),"",G841)))</f>
        <v>5.2</v>
      </c>
      <c r="I841">
        <f ca="1">IF(OR(G841=-999,G841=-888,AND($AA$6="Excluded",G841&gt;=Settings!$G$2)),"",G841)</f>
        <v>5.2</v>
      </c>
      <c r="O841" s="46"/>
    </row>
    <row r="842" spans="1:15" x14ac:dyDescent="0.2">
      <c r="A842" s="1">
        <v>837</v>
      </c>
      <c r="B842" t="str">
        <f>IF(ISERROR(MATCH(TRIM('Data Table'!D839),Settings!$G$15:$G$20,0)),TRIM('Data Table'!D839),LOOKUP(TRIM('Data Table'!D839),Settings!$G$15:$G$20,Settings!$H$15:$H$20))</f>
        <v>New Hanover</v>
      </c>
      <c r="C842" t="str">
        <f>IF('Data Table'!F839="","SS",IF('Data Table'!F839="SF","SD",TRIM('Data Table'!F839)))</f>
        <v>SD</v>
      </c>
      <c r="D842" s="106">
        <f ca="1">IF(ISBLANK(OFFSET('Data Table'!$A837,2,Settings!$G$5-1)),"",OFFSET('Data Table'!$A837,2,Settings!$G$5-1))</f>
        <v>6.4</v>
      </c>
      <c r="E842" s="106" t="str">
        <f ca="1">IF(ISBLANK(OFFSET('Data Table'!$A837,2,Settings!$G$5)),"",OFFSET('Data Table'!$A837,2,Settings!$G$5))</f>
        <v/>
      </c>
      <c r="F842" s="143" t="str">
        <f ca="1">IF(ISBLANK(OFFSET('Data Table'!$A837,2,Settings!$G$5+1)),"",OFFSET('Data Table'!$A837,2,Settings!$G$5+1))</f>
        <v/>
      </c>
      <c r="G842">
        <f t="shared" ca="1" si="13"/>
        <v>6.4</v>
      </c>
      <c r="H842">
        <f ca="1">IF(G842=-888,"",IF(G842=-999,Settings!$G$4,IF(AND($AA$6="Excluded",G842&gt;=Settings!$G$2),"",G842)))</f>
        <v>6.4</v>
      </c>
      <c r="I842">
        <f ca="1">IF(OR(G842=-999,G842=-888,AND($AA$6="Excluded",G842&gt;=Settings!$G$2)),"",G842)</f>
        <v>6.4</v>
      </c>
      <c r="O842" s="46"/>
    </row>
    <row r="843" spans="1:15" x14ac:dyDescent="0.2">
      <c r="A843" s="1">
        <v>838</v>
      </c>
      <c r="B843" t="str">
        <f>IF(ISERROR(MATCH(TRIM('Data Table'!D840),Settings!$G$15:$G$20,0)),TRIM('Data Table'!D840),LOOKUP(TRIM('Data Table'!D840),Settings!$G$15:$G$20,Settings!$H$15:$H$20))</f>
        <v>New Hanover</v>
      </c>
      <c r="C843" t="str">
        <f>IF('Data Table'!F840="","SS",IF('Data Table'!F840="SF","SD",TRIM('Data Table'!F840)))</f>
        <v>SD</v>
      </c>
      <c r="D843" s="106">
        <f ca="1">IF(ISBLANK(OFFSET('Data Table'!$A838,2,Settings!$G$5-1)),"",OFFSET('Data Table'!$A838,2,Settings!$G$5-1))</f>
        <v>3</v>
      </c>
      <c r="E843" s="106" t="str">
        <f ca="1">IF(ISBLANK(OFFSET('Data Table'!$A838,2,Settings!$G$5)),"",OFFSET('Data Table'!$A838,2,Settings!$G$5))</f>
        <v/>
      </c>
      <c r="F843" s="143" t="str">
        <f ca="1">IF(ISBLANK(OFFSET('Data Table'!$A838,2,Settings!$G$5+1)),"",OFFSET('Data Table'!$A838,2,Settings!$G$5+1))</f>
        <v/>
      </c>
      <c r="G843">
        <f t="shared" ca="1" si="13"/>
        <v>3</v>
      </c>
      <c r="H843">
        <f ca="1">IF(G843=-888,"",IF(G843=-999,Settings!$G$4,IF(AND($AA$6="Excluded",G843&gt;=Settings!$G$2),"",G843)))</f>
        <v>3</v>
      </c>
      <c r="I843">
        <f ca="1">IF(OR(G843=-999,G843=-888,AND($AA$6="Excluded",G843&gt;=Settings!$G$2)),"",G843)</f>
        <v>3</v>
      </c>
      <c r="O843" s="46"/>
    </row>
    <row r="844" spans="1:15" x14ac:dyDescent="0.2">
      <c r="A844" s="1">
        <v>839</v>
      </c>
      <c r="B844" t="str">
        <f>IF(ISERROR(MATCH(TRIM('Data Table'!D841),Settings!$G$15:$G$20,0)),TRIM('Data Table'!D841),LOOKUP(TRIM('Data Table'!D841),Settings!$G$15:$G$20,Settings!$H$15:$H$20))</f>
        <v>New Hanover</v>
      </c>
      <c r="C844" t="str">
        <f>IF('Data Table'!F841="","SS",IF('Data Table'!F841="SF","SD",TRIM('Data Table'!F841)))</f>
        <v>SD</v>
      </c>
      <c r="D844" s="106">
        <f ca="1">IF(ISBLANK(OFFSET('Data Table'!$A839,2,Settings!$G$5-1)),"",OFFSET('Data Table'!$A839,2,Settings!$G$5-1))</f>
        <v>4.9000000000000004</v>
      </c>
      <c r="E844" s="106" t="str">
        <f ca="1">IF(ISBLANK(OFFSET('Data Table'!$A839,2,Settings!$G$5)),"",OFFSET('Data Table'!$A839,2,Settings!$G$5))</f>
        <v/>
      </c>
      <c r="F844" s="143" t="str">
        <f ca="1">IF(ISBLANK(OFFSET('Data Table'!$A839,2,Settings!$G$5+1)),"",OFFSET('Data Table'!$A839,2,Settings!$G$5+1))</f>
        <v/>
      </c>
      <c r="G844">
        <f t="shared" ca="1" si="13"/>
        <v>4.9000000000000004</v>
      </c>
      <c r="H844">
        <f ca="1">IF(G844=-888,"",IF(G844=-999,Settings!$G$4,IF(AND($AA$6="Excluded",G844&gt;=Settings!$G$2),"",G844)))</f>
        <v>4.9000000000000004</v>
      </c>
      <c r="I844">
        <f ca="1">IF(OR(G844=-999,G844=-888,AND($AA$6="Excluded",G844&gt;=Settings!$G$2)),"",G844)</f>
        <v>4.9000000000000004</v>
      </c>
      <c r="O844" s="46"/>
    </row>
    <row r="845" spans="1:15" x14ac:dyDescent="0.2">
      <c r="A845" s="1">
        <v>840</v>
      </c>
      <c r="B845" t="str">
        <f>IF(ISERROR(MATCH(TRIM('Data Table'!D842),Settings!$G$15:$G$20,0)),TRIM('Data Table'!D842),LOOKUP(TRIM('Data Table'!D842),Settings!$G$15:$G$20,Settings!$H$15:$H$20))</f>
        <v>New Hanover</v>
      </c>
      <c r="C845" t="str">
        <f>IF('Data Table'!F842="","SS",IF('Data Table'!F842="SF","SD",TRIM('Data Table'!F842)))</f>
        <v>SD</v>
      </c>
      <c r="D845" s="106">
        <f ca="1">IF(ISBLANK(OFFSET('Data Table'!$A840,2,Settings!$G$5-1)),"",OFFSET('Data Table'!$A840,2,Settings!$G$5-1))</f>
        <v>14</v>
      </c>
      <c r="E845" s="106" t="str">
        <f ca="1">IF(ISBLANK(OFFSET('Data Table'!$A840,2,Settings!$G$5)),"",OFFSET('Data Table'!$A840,2,Settings!$G$5))</f>
        <v/>
      </c>
      <c r="F845" s="143" t="str">
        <f ca="1">IF(ISBLANK(OFFSET('Data Table'!$A840,2,Settings!$G$5+1)),"",OFFSET('Data Table'!$A840,2,Settings!$G$5+1))</f>
        <v/>
      </c>
      <c r="G845">
        <f t="shared" ca="1" si="13"/>
        <v>14</v>
      </c>
      <c r="H845">
        <f ca="1">IF(G845=-888,"",IF(G845=-999,Settings!$G$4,IF(AND($AA$6="Excluded",G845&gt;=Settings!$G$2),"",G845)))</f>
        <v>14</v>
      </c>
      <c r="I845">
        <f ca="1">IF(OR(G845=-999,G845=-888,AND($AA$6="Excluded",G845&gt;=Settings!$G$2)),"",G845)</f>
        <v>14</v>
      </c>
      <c r="O845" s="46"/>
    </row>
    <row r="846" spans="1:15" x14ac:dyDescent="0.2">
      <c r="A846" s="1">
        <v>841</v>
      </c>
      <c r="B846" t="str">
        <f>IF(ISERROR(MATCH(TRIM('Data Table'!D843),Settings!$G$15:$G$20,0)),TRIM('Data Table'!D843),LOOKUP(TRIM('Data Table'!D843),Settings!$G$15:$G$20,Settings!$H$15:$H$20))</f>
        <v>Mecklenburg</v>
      </c>
      <c r="C846" t="str">
        <f>IF('Data Table'!F843="","SS",IF('Data Table'!F843="SF","SD",TRIM('Data Table'!F843)))</f>
        <v>SS</v>
      </c>
      <c r="D846" s="106">
        <f ca="1">IF(ISBLANK(OFFSET('Data Table'!$A841,2,Settings!$G$5-1)),"",OFFSET('Data Table'!$A841,2,Settings!$G$5-1))</f>
        <v>20.5</v>
      </c>
      <c r="E846" s="106" t="str">
        <f ca="1">IF(ISBLANK(OFFSET('Data Table'!$A841,2,Settings!$G$5)),"",OFFSET('Data Table'!$A841,2,Settings!$G$5))</f>
        <v/>
      </c>
      <c r="F846" s="143" t="str">
        <f ca="1">IF(ISBLANK(OFFSET('Data Table'!$A841,2,Settings!$G$5+1)),"",OFFSET('Data Table'!$A841,2,Settings!$G$5+1))</f>
        <v/>
      </c>
      <c r="G846">
        <f t="shared" ca="1" si="13"/>
        <v>20.5</v>
      </c>
      <c r="H846">
        <f ca="1">IF(G846=-888,"",IF(G846=-999,Settings!$G$4,IF(AND($AA$6="Excluded",G846&gt;=Settings!$G$2),"",G846)))</f>
        <v>20.5</v>
      </c>
      <c r="I846">
        <f ca="1">IF(OR(G846=-999,G846=-888,AND($AA$6="Excluded",G846&gt;=Settings!$G$2)),"",G846)</f>
        <v>20.5</v>
      </c>
      <c r="O846" s="46"/>
    </row>
    <row r="847" spans="1:15" x14ac:dyDescent="0.2">
      <c r="A847" s="1">
        <v>842</v>
      </c>
      <c r="B847" t="str">
        <f>IF(ISERROR(MATCH(TRIM('Data Table'!D844),Settings!$G$15:$G$20,0)),TRIM('Data Table'!D844),LOOKUP(TRIM('Data Table'!D844),Settings!$G$15:$G$20,Settings!$H$15:$H$20))</f>
        <v>Mecklenburg</v>
      </c>
      <c r="C847" t="str">
        <f>IF('Data Table'!F844="","SS",IF('Data Table'!F844="SF","SD",TRIM('Data Table'!F844)))</f>
        <v>SB</v>
      </c>
      <c r="D847" s="106">
        <f ca="1">IF(ISBLANK(OFFSET('Data Table'!$A842,2,Settings!$G$5-1)),"",OFFSET('Data Table'!$A842,2,Settings!$G$5-1))</f>
        <v>4.5</v>
      </c>
      <c r="E847" s="106" t="str">
        <f ca="1">IF(ISBLANK(OFFSET('Data Table'!$A842,2,Settings!$G$5)),"",OFFSET('Data Table'!$A842,2,Settings!$G$5))</f>
        <v/>
      </c>
      <c r="F847" s="143" t="str">
        <f ca="1">IF(ISBLANK(OFFSET('Data Table'!$A842,2,Settings!$G$5+1)),"",OFFSET('Data Table'!$A842,2,Settings!$G$5+1))</f>
        <v/>
      </c>
      <c r="G847">
        <f t="shared" ca="1" si="13"/>
        <v>4.5</v>
      </c>
      <c r="H847">
        <f ca="1">IF(G847=-888,"",IF(G847=-999,Settings!$G$4,IF(AND($AA$6="Excluded",G847&gt;=Settings!$G$2),"",G847)))</f>
        <v>4.5</v>
      </c>
      <c r="I847">
        <f ca="1">IF(OR(G847=-999,G847=-888,AND($AA$6="Excluded",G847&gt;=Settings!$G$2)),"",G847)</f>
        <v>4.5</v>
      </c>
      <c r="O847" s="46"/>
    </row>
    <row r="848" spans="1:15" x14ac:dyDescent="0.2">
      <c r="A848" s="1">
        <v>843</v>
      </c>
      <c r="B848" t="str">
        <f>IF(ISERROR(MATCH(TRIM('Data Table'!D845),Settings!$G$15:$G$20,0)),TRIM('Data Table'!D845),LOOKUP(TRIM('Data Table'!D845),Settings!$G$15:$G$20,Settings!$H$15:$H$20))</f>
        <v>Mecklenburg</v>
      </c>
      <c r="C848" t="str">
        <f>IF('Data Table'!F845="","SS",IF('Data Table'!F845="SF","SD",TRIM('Data Table'!F845)))</f>
        <v>SB</v>
      </c>
      <c r="D848" s="106">
        <f ca="1">IF(ISBLANK(OFFSET('Data Table'!$A843,2,Settings!$G$5-1)),"",OFFSET('Data Table'!$A843,2,Settings!$G$5-1))</f>
        <v>4</v>
      </c>
      <c r="E848" s="106" t="str">
        <f ca="1">IF(ISBLANK(OFFSET('Data Table'!$A843,2,Settings!$G$5)),"",OFFSET('Data Table'!$A843,2,Settings!$G$5))</f>
        <v/>
      </c>
      <c r="F848" s="143" t="str">
        <f ca="1">IF(ISBLANK(OFFSET('Data Table'!$A843,2,Settings!$G$5+1)),"",OFFSET('Data Table'!$A843,2,Settings!$G$5+1))</f>
        <v/>
      </c>
      <c r="G848">
        <f t="shared" ca="1" si="13"/>
        <v>4</v>
      </c>
      <c r="H848">
        <f ca="1">IF(G848=-888,"",IF(G848=-999,Settings!$G$4,IF(AND($AA$6="Excluded",G848&gt;=Settings!$G$2),"",G848)))</f>
        <v>4</v>
      </c>
      <c r="I848">
        <f ca="1">IF(OR(G848=-999,G848=-888,AND($AA$6="Excluded",G848&gt;=Settings!$G$2)),"",G848)</f>
        <v>4</v>
      </c>
      <c r="O848" s="46"/>
    </row>
    <row r="849" spans="1:15" x14ac:dyDescent="0.2">
      <c r="A849" s="1">
        <v>844</v>
      </c>
      <c r="B849" t="str">
        <f>IF(ISERROR(MATCH(TRIM('Data Table'!D846),Settings!$G$15:$G$20,0)),TRIM('Data Table'!D846),LOOKUP(TRIM('Data Table'!D846),Settings!$G$15:$G$20,Settings!$H$15:$H$20))</f>
        <v>Pasquotank</v>
      </c>
      <c r="C849" t="str">
        <f>IF('Data Table'!F846="","SS",IF('Data Table'!F846="SF","SD",TRIM('Data Table'!F846)))</f>
        <v>SS</v>
      </c>
      <c r="D849" s="106">
        <f ca="1">IF(ISBLANK(OFFSET('Data Table'!$A844,2,Settings!$G$5-1)),"",OFFSET('Data Table'!$A844,2,Settings!$G$5-1))</f>
        <v>104</v>
      </c>
      <c r="E849" s="106" t="str">
        <f ca="1">IF(ISBLANK(OFFSET('Data Table'!$A844,2,Settings!$G$5)),"",OFFSET('Data Table'!$A844,2,Settings!$G$5))</f>
        <v/>
      </c>
      <c r="F849" s="143" t="str">
        <f ca="1">IF(ISBLANK(OFFSET('Data Table'!$A844,2,Settings!$G$5+1)),"",OFFSET('Data Table'!$A844,2,Settings!$G$5+1))</f>
        <v/>
      </c>
      <c r="G849">
        <f t="shared" ca="1" si="13"/>
        <v>104</v>
      </c>
      <c r="H849">
        <f ca="1">IF(G849=-888,"",IF(G849=-999,Settings!$G$4,IF(AND($AA$6="Excluded",G849&gt;=Settings!$G$2),"",G849)))</f>
        <v>104</v>
      </c>
      <c r="I849">
        <f ca="1">IF(OR(G849=-999,G849=-888,AND($AA$6="Excluded",G849&gt;=Settings!$G$2)),"",G849)</f>
        <v>104</v>
      </c>
      <c r="O849" s="46"/>
    </row>
    <row r="850" spans="1:15" x14ac:dyDescent="0.2">
      <c r="A850" s="1">
        <v>845</v>
      </c>
      <c r="B850" t="str">
        <f>IF(ISERROR(MATCH(TRIM('Data Table'!D847),Settings!$G$15:$G$20,0)),TRIM('Data Table'!D847),LOOKUP(TRIM('Data Table'!D847),Settings!$G$15:$G$20,Settings!$H$15:$H$20))</f>
        <v>Pasquotank</v>
      </c>
      <c r="C850" t="str">
        <f>IF('Data Table'!F847="","SS",IF('Data Table'!F847="SF","SD",TRIM('Data Table'!F847)))</f>
        <v>SS</v>
      </c>
      <c r="D850" s="106">
        <f ca="1">IF(ISBLANK(OFFSET('Data Table'!$A845,2,Settings!$G$5-1)),"",OFFSET('Data Table'!$A845,2,Settings!$G$5-1))</f>
        <v>96.4</v>
      </c>
      <c r="E850" s="106" t="str">
        <f ca="1">IF(ISBLANK(OFFSET('Data Table'!$A845,2,Settings!$G$5)),"",OFFSET('Data Table'!$A845,2,Settings!$G$5))</f>
        <v/>
      </c>
      <c r="F850" s="143" t="str">
        <f ca="1">IF(ISBLANK(OFFSET('Data Table'!$A845,2,Settings!$G$5+1)),"",OFFSET('Data Table'!$A845,2,Settings!$G$5+1))</f>
        <v/>
      </c>
      <c r="G850">
        <f t="shared" ca="1" si="13"/>
        <v>96.4</v>
      </c>
      <c r="H850">
        <f ca="1">IF(G850=-888,"",IF(G850=-999,Settings!$G$4,IF(AND($AA$6="Excluded",G850&gt;=Settings!$G$2),"",G850)))</f>
        <v>96.4</v>
      </c>
      <c r="I850">
        <f ca="1">IF(OR(G850=-999,G850=-888,AND($AA$6="Excluded",G850&gt;=Settings!$G$2)),"",G850)</f>
        <v>96.4</v>
      </c>
      <c r="O850" s="46"/>
    </row>
    <row r="851" spans="1:15" x14ac:dyDescent="0.2">
      <c r="A851" s="1">
        <v>846</v>
      </c>
      <c r="B851" t="str">
        <f>IF(ISERROR(MATCH(TRIM('Data Table'!D848),Settings!$G$15:$G$20,0)),TRIM('Data Table'!D848),LOOKUP(TRIM('Data Table'!D848),Settings!$G$15:$G$20,Settings!$H$15:$H$20))</f>
        <v>Pasquotank</v>
      </c>
      <c r="C851" t="str">
        <f>IF('Data Table'!F848="","SS",IF('Data Table'!F848="SF","SD",TRIM('Data Table'!F848)))</f>
        <v>SB</v>
      </c>
      <c r="D851" s="106">
        <f ca="1">IF(ISBLANK(OFFSET('Data Table'!$A846,2,Settings!$G$5-1)),"",OFFSET('Data Table'!$A846,2,Settings!$G$5-1))</f>
        <v>121</v>
      </c>
      <c r="E851" s="106" t="str">
        <f ca="1">IF(ISBLANK(OFFSET('Data Table'!$A846,2,Settings!$G$5)),"",OFFSET('Data Table'!$A846,2,Settings!$G$5))</f>
        <v/>
      </c>
      <c r="F851" s="143" t="str">
        <f ca="1">IF(ISBLANK(OFFSET('Data Table'!$A846,2,Settings!$G$5+1)),"",OFFSET('Data Table'!$A846,2,Settings!$G$5+1))</f>
        <v/>
      </c>
      <c r="G851">
        <f t="shared" ca="1" si="13"/>
        <v>121</v>
      </c>
      <c r="H851">
        <f ca="1">IF(G851=-888,"",IF(G851=-999,Settings!$G$4,IF(AND($AA$6="Excluded",G851&gt;=Settings!$G$2),"",G851)))</f>
        <v>121</v>
      </c>
      <c r="I851">
        <f ca="1">IF(OR(G851=-999,G851=-888,AND($AA$6="Excluded",G851&gt;=Settings!$G$2)),"",G851)</f>
        <v>121</v>
      </c>
      <c r="O851" s="46"/>
    </row>
    <row r="852" spans="1:15" x14ac:dyDescent="0.2">
      <c r="A852" s="1">
        <v>847</v>
      </c>
      <c r="B852" t="str">
        <f>IF(ISERROR(MATCH(TRIM('Data Table'!D849),Settings!$G$15:$G$20,0)),TRIM('Data Table'!D849),LOOKUP(TRIM('Data Table'!D849),Settings!$G$15:$G$20,Settings!$H$15:$H$20))</f>
        <v>Pasquotank</v>
      </c>
      <c r="C852" t="str">
        <f>IF('Data Table'!F849="","SS",IF('Data Table'!F849="SF","SD",TRIM('Data Table'!F849)))</f>
        <v>SS</v>
      </c>
      <c r="D852" s="106">
        <f ca="1">IF(ISBLANK(OFFSET('Data Table'!$A847,2,Settings!$G$5-1)),"",OFFSET('Data Table'!$A847,2,Settings!$G$5-1))</f>
        <v>19.2</v>
      </c>
      <c r="E852" s="106" t="str">
        <f ca="1">IF(ISBLANK(OFFSET('Data Table'!$A847,2,Settings!$G$5)),"",OFFSET('Data Table'!$A847,2,Settings!$G$5))</f>
        <v/>
      </c>
      <c r="F852" s="143" t="str">
        <f ca="1">IF(ISBLANK(OFFSET('Data Table'!$A847,2,Settings!$G$5+1)),"",OFFSET('Data Table'!$A847,2,Settings!$G$5+1))</f>
        <v/>
      </c>
      <c r="G852">
        <f t="shared" ca="1" si="13"/>
        <v>19.2</v>
      </c>
      <c r="H852">
        <f ca="1">IF(G852=-888,"",IF(G852=-999,Settings!$G$4,IF(AND($AA$6="Excluded",G852&gt;=Settings!$G$2),"",G852)))</f>
        <v>19.2</v>
      </c>
      <c r="I852">
        <f ca="1">IF(OR(G852=-999,G852=-888,AND($AA$6="Excluded",G852&gt;=Settings!$G$2)),"",G852)</f>
        <v>19.2</v>
      </c>
      <c r="O852" s="46"/>
    </row>
    <row r="853" spans="1:15" x14ac:dyDescent="0.2">
      <c r="A853" s="1">
        <v>848</v>
      </c>
      <c r="B853" t="str">
        <f>IF(ISERROR(MATCH(TRIM('Data Table'!D850),Settings!$G$15:$G$20,0)),TRIM('Data Table'!D850),LOOKUP(TRIM('Data Table'!D850),Settings!$G$15:$G$20,Settings!$H$15:$H$20))</f>
        <v>Pasquotank</v>
      </c>
      <c r="C853" t="str">
        <f>IF('Data Table'!F850="","SS",IF('Data Table'!F850="SF","SD",TRIM('Data Table'!F850)))</f>
        <v>SB</v>
      </c>
      <c r="D853" s="106" t="str">
        <f ca="1">IF(ISBLANK(OFFSET('Data Table'!$A848,2,Settings!$G$5-1)),"",OFFSET('Data Table'!$A848,2,Settings!$G$5-1))</f>
        <v/>
      </c>
      <c r="E853" s="106">
        <f ca="1">IF(ISBLANK(OFFSET('Data Table'!$A848,2,Settings!$G$5)),"",OFFSET('Data Table'!$A848,2,Settings!$G$5))</f>
        <v>5.7023999999999999</v>
      </c>
      <c r="F853" s="143" t="str">
        <f ca="1">IF(ISBLANK(OFFSET('Data Table'!$A848,2,Settings!$G$5+1)),"",OFFSET('Data Table'!$A848,2,Settings!$G$5+1))</f>
        <v/>
      </c>
      <c r="G853">
        <f t="shared" ca="1" si="13"/>
        <v>5.7023999999999999</v>
      </c>
      <c r="H853">
        <f ca="1">IF(G853=-888,"",IF(G853=-999,Settings!$G$4,IF(AND($AA$6="Excluded",G853&gt;=Settings!$G$2),"",G853)))</f>
        <v>5.7023999999999999</v>
      </c>
      <c r="I853">
        <f ca="1">IF(OR(G853=-999,G853=-888,AND($AA$6="Excluded",G853&gt;=Settings!$G$2)),"",G853)</f>
        <v>5.7023999999999999</v>
      </c>
      <c r="O853" s="46"/>
    </row>
    <row r="854" spans="1:15" x14ac:dyDescent="0.2">
      <c r="A854" s="1">
        <v>849</v>
      </c>
      <c r="B854" t="str">
        <f>IF(ISERROR(MATCH(TRIM('Data Table'!D851),Settings!$G$15:$G$20,0)),TRIM('Data Table'!D851),LOOKUP(TRIM('Data Table'!D851),Settings!$G$15:$G$20,Settings!$H$15:$H$20))</f>
        <v>Pasquotank</v>
      </c>
      <c r="C854" t="str">
        <f>IF('Data Table'!F851="","SS",IF('Data Table'!F851="SF","SD",TRIM('Data Table'!F851)))</f>
        <v>SB</v>
      </c>
      <c r="D854" s="106" t="str">
        <f ca="1">IF(ISBLANK(OFFSET('Data Table'!$A849,2,Settings!$G$5-1)),"",OFFSET('Data Table'!$A849,2,Settings!$G$5-1))</f>
        <v/>
      </c>
      <c r="E854" s="106">
        <f ca="1">IF(ISBLANK(OFFSET('Data Table'!$A849,2,Settings!$G$5)),"",OFFSET('Data Table'!$A849,2,Settings!$G$5))</f>
        <v>3.7728000000000002</v>
      </c>
      <c r="F854" s="143" t="str">
        <f ca="1">IF(ISBLANK(OFFSET('Data Table'!$A849,2,Settings!$G$5+1)),"",OFFSET('Data Table'!$A849,2,Settings!$G$5+1))</f>
        <v/>
      </c>
      <c r="G854">
        <f t="shared" ca="1" si="13"/>
        <v>3.7728000000000002</v>
      </c>
      <c r="H854">
        <f ca="1">IF(G854=-888,"",IF(G854=-999,Settings!$G$4,IF(AND($AA$6="Excluded",G854&gt;=Settings!$G$2),"",G854)))</f>
        <v>3.7728000000000002</v>
      </c>
      <c r="I854">
        <f ca="1">IF(OR(G854=-999,G854=-888,AND($AA$6="Excluded",G854&gt;=Settings!$G$2)),"",G854)</f>
        <v>3.7728000000000002</v>
      </c>
      <c r="O854" s="46"/>
    </row>
    <row r="855" spans="1:15" x14ac:dyDescent="0.2">
      <c r="A855" s="1">
        <v>850</v>
      </c>
      <c r="B855" t="str">
        <f>IF(ISERROR(MATCH(TRIM('Data Table'!D852),Settings!$G$15:$G$20,0)),TRIM('Data Table'!D852),LOOKUP(TRIM('Data Table'!D852),Settings!$G$15:$G$20,Settings!$H$15:$H$20))</f>
        <v>Pasquotank</v>
      </c>
      <c r="C855" t="str">
        <f>IF('Data Table'!F852="","SS",IF('Data Table'!F852="SF","SD",TRIM('Data Table'!F852)))</f>
        <v>SS</v>
      </c>
      <c r="D855" s="106">
        <f ca="1">IF(ISBLANK(OFFSET('Data Table'!$A850,2,Settings!$G$5-1)),"",OFFSET('Data Table'!$A850,2,Settings!$G$5-1))</f>
        <v>126</v>
      </c>
      <c r="E855" s="106" t="str">
        <f ca="1">IF(ISBLANK(OFFSET('Data Table'!$A850,2,Settings!$G$5)),"",OFFSET('Data Table'!$A850,2,Settings!$G$5))</f>
        <v/>
      </c>
      <c r="F855" s="143" t="str">
        <f ca="1">IF(ISBLANK(OFFSET('Data Table'!$A850,2,Settings!$G$5+1)),"",OFFSET('Data Table'!$A850,2,Settings!$G$5+1))</f>
        <v/>
      </c>
      <c r="G855">
        <f t="shared" ca="1" si="13"/>
        <v>126</v>
      </c>
      <c r="H855">
        <f ca="1">IF(G855=-888,"",IF(G855=-999,Settings!$G$4,IF(AND($AA$6="Excluded",G855&gt;=Settings!$G$2),"",G855)))</f>
        <v>126</v>
      </c>
      <c r="I855">
        <f ca="1">IF(OR(G855=-999,G855=-888,AND($AA$6="Excluded",G855&gt;=Settings!$G$2)),"",G855)</f>
        <v>126</v>
      </c>
      <c r="O855" s="46"/>
    </row>
    <row r="856" spans="1:15" x14ac:dyDescent="0.2">
      <c r="A856" s="1">
        <v>851</v>
      </c>
      <c r="B856" t="str">
        <f>IF(ISERROR(MATCH(TRIM('Data Table'!D853),Settings!$G$15:$G$20,0)),TRIM('Data Table'!D853),LOOKUP(TRIM('Data Table'!D853),Settings!$G$15:$G$20,Settings!$H$15:$H$20))</f>
        <v>Pasquotank</v>
      </c>
      <c r="C856" t="str">
        <f>IF('Data Table'!F853="","SS",IF('Data Table'!F853="SF","SD",TRIM('Data Table'!F853)))</f>
        <v>SB</v>
      </c>
      <c r="D856" s="106" t="str">
        <f ca="1">IF(ISBLANK(OFFSET('Data Table'!$A851,2,Settings!$G$5-1)),"",OFFSET('Data Table'!$A851,2,Settings!$G$5-1))</f>
        <v/>
      </c>
      <c r="E856" s="106">
        <f ca="1">IF(ISBLANK(OFFSET('Data Table'!$A851,2,Settings!$G$5)),"",OFFSET('Data Table'!$A851,2,Settings!$G$5))</f>
        <v>3.2976000000000001</v>
      </c>
      <c r="F856" s="143" t="str">
        <f ca="1">IF(ISBLANK(OFFSET('Data Table'!$A851,2,Settings!$G$5+1)),"",OFFSET('Data Table'!$A851,2,Settings!$G$5+1))</f>
        <v/>
      </c>
      <c r="G856">
        <f t="shared" ca="1" si="13"/>
        <v>3.2976000000000001</v>
      </c>
      <c r="H856">
        <f ca="1">IF(G856=-888,"",IF(G856=-999,Settings!$G$4,IF(AND($AA$6="Excluded",G856&gt;=Settings!$G$2),"",G856)))</f>
        <v>3.2976000000000001</v>
      </c>
      <c r="I856">
        <f ca="1">IF(OR(G856=-999,G856=-888,AND($AA$6="Excluded",G856&gt;=Settings!$G$2)),"",G856)</f>
        <v>3.2976000000000001</v>
      </c>
      <c r="O856" s="46"/>
    </row>
    <row r="857" spans="1:15" x14ac:dyDescent="0.2">
      <c r="A857" s="1">
        <v>852</v>
      </c>
      <c r="B857" t="str">
        <f>IF(ISERROR(MATCH(TRIM('Data Table'!D854),Settings!$G$15:$G$20,0)),TRIM('Data Table'!D854),LOOKUP(TRIM('Data Table'!D854),Settings!$G$15:$G$20,Settings!$H$15:$H$20))</f>
        <v>Pasquotank</v>
      </c>
      <c r="C857" t="str">
        <f>IF('Data Table'!F854="","SS",IF('Data Table'!F854="SF","SD",TRIM('Data Table'!F854)))</f>
        <v>SB</v>
      </c>
      <c r="D857" s="106" t="str">
        <f ca="1">IF(ISBLANK(OFFSET('Data Table'!$A852,2,Settings!$G$5-1)),"",OFFSET('Data Table'!$A852,2,Settings!$G$5-1))</f>
        <v/>
      </c>
      <c r="E857" s="106">
        <f ca="1">IF(ISBLANK(OFFSET('Data Table'!$A852,2,Settings!$G$5)),"",OFFSET('Data Table'!$A852,2,Settings!$G$5))</f>
        <v>3.5423999999999998</v>
      </c>
      <c r="F857" s="143" t="str">
        <f ca="1">IF(ISBLANK(OFFSET('Data Table'!$A852,2,Settings!$G$5+1)),"",OFFSET('Data Table'!$A852,2,Settings!$G$5+1))</f>
        <v/>
      </c>
      <c r="G857">
        <f t="shared" ca="1" si="13"/>
        <v>3.5423999999999998</v>
      </c>
      <c r="H857">
        <f ca="1">IF(G857=-888,"",IF(G857=-999,Settings!$G$4,IF(AND($AA$6="Excluded",G857&gt;=Settings!$G$2),"",G857)))</f>
        <v>3.5423999999999998</v>
      </c>
      <c r="I857">
        <f ca="1">IF(OR(G857=-999,G857=-888,AND($AA$6="Excluded",G857&gt;=Settings!$G$2)),"",G857)</f>
        <v>3.5423999999999998</v>
      </c>
      <c r="O857" s="46"/>
    </row>
    <row r="858" spans="1:15" x14ac:dyDescent="0.2">
      <c r="O858" s="46"/>
    </row>
    <row r="859" spans="1:15" x14ac:dyDescent="0.2">
      <c r="O859" s="46"/>
    </row>
  </sheetData>
  <sheetProtection sheet="1" objects="1" scenarios="1"/>
  <mergeCells count="12">
    <mergeCell ref="Z17:AA21"/>
    <mergeCell ref="Z16:AA16"/>
    <mergeCell ref="K2:AB2"/>
    <mergeCell ref="K3:AB3"/>
    <mergeCell ref="D4:F4"/>
    <mergeCell ref="T15:U15"/>
    <mergeCell ref="W15:X15"/>
    <mergeCell ref="T8:U8"/>
    <mergeCell ref="W8:X8"/>
    <mergeCell ref="Z8:AA8"/>
    <mergeCell ref="Q8:R8"/>
    <mergeCell ref="Q15:R15"/>
  </mergeCells>
  <conditionalFormatting sqref="U6 W8">
    <cfRule type="expression" dxfId="2" priority="1">
      <formula>$U$6="Excluded"</formula>
    </cfRule>
  </conditionalFormatting>
  <conditionalFormatting sqref="X10:X11 Z10:Z12 R10:R14 X16:X17 U16:U19">
    <cfRule type="expression" dxfId="1" priority="16">
      <formula>$M$6="Hg"</formula>
    </cfRule>
  </conditionalFormatting>
  <conditionalFormatting sqref="AA6 L38:O40">
    <cfRule type="expression" dxfId="0" priority="2">
      <formula>$AA$6="Included"</formula>
    </cfRule>
  </conditionalFormatting>
  <dataValidations count="2">
    <dataValidation type="list" allowBlank="1" showInputMessage="1" showErrorMessage="1" sqref="AA6" xr:uid="{D53AB342-A8E3-48F6-A411-7FAD464600E8}">
      <formula1>"Included, Excluded"</formula1>
    </dataValidation>
    <dataValidation type="list" allowBlank="1" showInputMessage="1" showErrorMessage="1" sqref="U6" xr:uid="{DB6A029F-B6BB-47D6-8BEA-F6839719A3D3}">
      <formula1>"Included,Excluded"</formula1>
    </dataValidation>
  </dataValidations>
  <printOptions horizontalCentered="1" verticalCentered="1"/>
  <pageMargins left="0.5" right="0.5" top="0.5" bottom="0.5" header="0" footer="0"/>
  <pageSetup scale="83" orientation="landscape" r:id="rId1"/>
  <ignoredErrors>
    <ignoredError sqref="W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2" r:id="rId4" name="Spinner 8">
              <controlPr defaultSize="0" autoPict="0">
                <anchor moveWithCells="1" sizeWithCells="1">
                  <from>
                    <xdr:col>23</xdr:col>
                    <xdr:colOff>838200</xdr:colOff>
                    <xdr:row>4</xdr:row>
                    <xdr:rowOff>114300</xdr:rowOff>
                  </from>
                  <to>
                    <xdr:col>24</xdr:col>
                    <xdr:colOff>25400</xdr:colOff>
                    <xdr:row>6</xdr:row>
                    <xdr:rowOff>76200</xdr:rowOff>
                  </to>
                </anchor>
              </controlPr>
            </control>
          </mc:Choice>
        </mc:AlternateContent>
        <mc:AlternateContent xmlns:mc="http://schemas.openxmlformats.org/markup-compatibility/2006">
          <mc:Choice Requires="x14">
            <control shapeId="1037" r:id="rId5" name="Check Box 13">
              <controlPr locked="0" defaultSize="0" autoFill="0" autoLine="0" autoPict="0">
                <anchor moveWithCells="1">
                  <from>
                    <xdr:col>25</xdr:col>
                    <xdr:colOff>558800</xdr:colOff>
                    <xdr:row>16</xdr:row>
                    <xdr:rowOff>101600</xdr:rowOff>
                  </from>
                  <to>
                    <xdr:col>26</xdr:col>
                    <xdr:colOff>304800</xdr:colOff>
                    <xdr:row>17</xdr:row>
                    <xdr:rowOff>127000</xdr:rowOff>
                  </to>
                </anchor>
              </controlPr>
            </control>
          </mc:Choice>
        </mc:AlternateContent>
        <mc:AlternateContent xmlns:mc="http://schemas.openxmlformats.org/markup-compatibility/2006">
          <mc:Choice Requires="x14">
            <control shapeId="1038" r:id="rId6" name="Check Box 14">
              <controlPr locked="0" defaultSize="0" autoFill="0" autoLine="0" autoPict="0">
                <anchor moveWithCells="1">
                  <from>
                    <xdr:col>25</xdr:col>
                    <xdr:colOff>558800</xdr:colOff>
                    <xdr:row>17</xdr:row>
                    <xdr:rowOff>165100</xdr:rowOff>
                  </from>
                  <to>
                    <xdr:col>26</xdr:col>
                    <xdr:colOff>304800</xdr:colOff>
                    <xdr:row>19</xdr:row>
                    <xdr:rowOff>0</xdr:rowOff>
                  </to>
                </anchor>
              </controlPr>
            </control>
          </mc:Choice>
        </mc:AlternateContent>
        <mc:AlternateContent xmlns:mc="http://schemas.openxmlformats.org/markup-compatibility/2006">
          <mc:Choice Requires="x14">
            <control shapeId="1039" r:id="rId7" name="Check Box 15">
              <controlPr locked="0" defaultSize="0" autoFill="0" autoLine="0" autoPict="0">
                <anchor moveWithCells="1">
                  <from>
                    <xdr:col>25</xdr:col>
                    <xdr:colOff>558800</xdr:colOff>
                    <xdr:row>19</xdr:row>
                    <xdr:rowOff>50800</xdr:rowOff>
                  </from>
                  <to>
                    <xdr:col>26</xdr:col>
                    <xdr:colOff>304800</xdr:colOff>
                    <xdr:row>20</xdr:row>
                    <xdr:rowOff>76200</xdr:rowOff>
                  </to>
                </anchor>
              </controlPr>
            </control>
          </mc:Choice>
        </mc:AlternateContent>
        <mc:AlternateContent xmlns:mc="http://schemas.openxmlformats.org/markup-compatibility/2006">
          <mc:Choice Requires="x14">
            <control shapeId="1040" r:id="rId8" name="MAP_CHECKBOX">
              <controlPr locked="0" defaultSize="0" autoFill="0" autoLine="0" autoPict="0">
                <anchor moveWithCells="1">
                  <from>
                    <xdr:col>16</xdr:col>
                    <xdr:colOff>76200</xdr:colOff>
                    <xdr:row>21</xdr:row>
                    <xdr:rowOff>127000</xdr:rowOff>
                  </from>
                  <to>
                    <xdr:col>16</xdr:col>
                    <xdr:colOff>838200</xdr:colOff>
                    <xdr:row>23</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07A93FC-07B8-4003-9507-370C8EF3F258}">
          <x14:formula1>
            <xm:f>Outliers!$B$1:$S$1</xm:f>
          </x14:formula1>
          <xm:sqref>M6:N6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252FF-D060-469A-968B-F8B8162A5DE2}">
  <sheetPr>
    <tabColor theme="4" tint="0.59999389629810485"/>
  </sheetPr>
  <dimension ref="A1:AA855"/>
  <sheetViews>
    <sheetView workbookViewId="0">
      <selection activeCell="B2" sqref="B2"/>
    </sheetView>
  </sheetViews>
  <sheetFormatPr baseColWidth="10" defaultColWidth="8.83203125" defaultRowHeight="15" x14ac:dyDescent="0.2"/>
  <cols>
    <col min="2" max="5" width="12.83203125" customWidth="1"/>
    <col min="7" max="7" width="14.5" customWidth="1"/>
    <col min="8" max="8" width="12.5" customWidth="1"/>
    <col min="10" max="10" width="14.5" customWidth="1"/>
    <col min="13" max="13" width="9.5" bestFit="1" customWidth="1"/>
    <col min="21" max="21" width="14" customWidth="1"/>
    <col min="22" max="22" width="11.5" bestFit="1" customWidth="1"/>
    <col min="24" max="24" width="9.5" customWidth="1"/>
  </cols>
  <sheetData>
    <row r="1" spans="1:27" x14ac:dyDescent="0.2">
      <c r="P1" t="s">
        <v>54</v>
      </c>
      <c r="V1" s="78" t="s">
        <v>55</v>
      </c>
      <c r="W1" s="79">
        <f>SUM(W8:W24)</f>
        <v>325.33957121865166</v>
      </c>
    </row>
    <row r="2" spans="1:27" x14ac:dyDescent="0.2">
      <c r="A2" s="72" t="s">
        <v>56</v>
      </c>
      <c r="B2" s="77" t="str">
        <f>Dashboard!M6</f>
        <v>Pb</v>
      </c>
      <c r="P2" t="s">
        <v>57</v>
      </c>
      <c r="V2" s="78" t="s">
        <v>58</v>
      </c>
      <c r="W2" s="80">
        <f>SQRT(SUM(X8:X24))</f>
        <v>1651.0949906461794</v>
      </c>
    </row>
    <row r="3" spans="1:27" x14ac:dyDescent="0.2">
      <c r="B3" s="71" t="s">
        <v>59</v>
      </c>
      <c r="C3" s="69" t="s">
        <v>60</v>
      </c>
      <c r="D3" s="69" t="s">
        <v>61</v>
      </c>
      <c r="E3" s="69" t="str">
        <f>"1-m/n"</f>
        <v>1-m/n</v>
      </c>
      <c r="F3" s="69" t="s">
        <v>62</v>
      </c>
      <c r="G3" s="69" t="s">
        <v>63</v>
      </c>
      <c r="H3" s="147" t="s">
        <v>64</v>
      </c>
      <c r="I3" s="67" t="s">
        <v>65</v>
      </c>
      <c r="J3" s="77" t="s">
        <v>66</v>
      </c>
      <c r="L3" s="78" t="s">
        <v>55</v>
      </c>
      <c r="M3" s="79">
        <f ca="1">SUM(I4:I855)</f>
        <v>25.155084302325577</v>
      </c>
      <c r="P3" t="s">
        <v>67</v>
      </c>
    </row>
    <row r="4" spans="1:27" x14ac:dyDescent="0.2">
      <c r="B4" s="66" cm="1">
        <f t="array" aca="1" ref="B4:B307" ca="1">_xlfn.UNIQUE(_xlfn._xlws.SORT(_xlfn._xlws.FILTER(ALL_DATA,ALL_DATA&lt;&gt;""),1,1))</f>
        <v>5.0000000000000001E-3</v>
      </c>
      <c r="C4" s="46">
        <f t="shared" ref="C4:C67" ca="1" si="0">COUNTIF(RAW_DATA,B4)</f>
        <v>1</v>
      </c>
      <c r="D4" s="46">
        <f ca="1">COUNTIF(ALL_DATA,B4)</f>
        <v>53</v>
      </c>
      <c r="E4" s="74">
        <f ca="1">1-C4/D4</f>
        <v>0.98113207547169812</v>
      </c>
      <c r="F4">
        <f ca="1">PRODUCT(E5:E855)</f>
        <v>6.1627906976744216E-2</v>
      </c>
      <c r="G4" s="76">
        <f ca="1">(B5-B4)*F4</f>
        <v>4.5173255813953503E-3</v>
      </c>
      <c r="H4" s="76">
        <f ca="1">SUM($G$4:G4)</f>
        <v>4.5173255813953503E-3</v>
      </c>
      <c r="I4" s="76">
        <f ca="1">B4*(F4-0)</f>
        <v>3.0813953488372111E-4</v>
      </c>
      <c r="J4" s="76">
        <f ca="1">POWER(B4-$M$3,2)*(F4-0)</f>
        <v>38.981299118542367</v>
      </c>
      <c r="L4" s="78" t="s">
        <v>58</v>
      </c>
      <c r="M4" s="80">
        <f ca="1">SQRT(SUM(J4:J855))</f>
        <v>51.808229793105617</v>
      </c>
      <c r="P4" t="s">
        <v>68</v>
      </c>
    </row>
    <row r="5" spans="1:27" x14ac:dyDescent="0.2">
      <c r="B5" s="66">
        <f ca="1"/>
        <v>7.8299999999999995E-2</v>
      </c>
      <c r="C5" s="46">
        <f t="shared" ca="1" si="0"/>
        <v>1</v>
      </c>
      <c r="D5" s="46">
        <f t="shared" ref="D5:D68" ca="1" si="1">COUNTIF(ALL_DATA,B5)+D4</f>
        <v>54</v>
      </c>
      <c r="E5" s="74">
        <f t="shared" ref="E5:E68" ca="1" si="2">1-C5/D5</f>
        <v>0.98148148148148151</v>
      </c>
      <c r="F5">
        <f t="shared" ref="F5:F68" ca="1" si="3">PRODUCT(E6:E856)</f>
        <v>6.2790697674418541E-2</v>
      </c>
      <c r="G5" s="76">
        <f t="shared" ref="G5:G68" ca="1" si="4">(B6-B5)*F5</f>
        <v>1.8943953488372075E-2</v>
      </c>
      <c r="H5" s="76">
        <f ca="1">SUM($G$4:G5)</f>
        <v>2.3461279069767426E-2</v>
      </c>
      <c r="I5" s="76">
        <f ca="1">B5*(F5-F4)</f>
        <v>9.1046511627899628E-5</v>
      </c>
      <c r="J5" s="76">
        <f ca="1">POWER(B5-$M$3,2)*(F5-F4)</f>
        <v>0.7312152452852464</v>
      </c>
    </row>
    <row r="6" spans="1:27" x14ac:dyDescent="0.2">
      <c r="B6" s="66">
        <f ca="1"/>
        <v>0.38</v>
      </c>
      <c r="C6" s="46">
        <f t="shared" ca="1" si="0"/>
        <v>1</v>
      </c>
      <c r="D6" s="46">
        <f t="shared" ca="1" si="1"/>
        <v>55</v>
      </c>
      <c r="E6" s="74">
        <f t="shared" ca="1" si="2"/>
        <v>0.98181818181818181</v>
      </c>
      <c r="F6">
        <f t="shared" ca="1" si="3"/>
        <v>6.3953488372093012E-2</v>
      </c>
      <c r="G6" s="76">
        <f t="shared" ca="1" si="4"/>
        <v>7.6744186046511613E-3</v>
      </c>
      <c r="H6" s="76">
        <f ca="1">SUM($G$4:G6)</f>
        <v>3.1135697674418587E-2</v>
      </c>
      <c r="I6" s="76">
        <f t="shared" ref="I6:I69" ca="1" si="5">B6*(F6-F5)</f>
        <v>4.4186046511629886E-4</v>
      </c>
      <c r="J6" s="76">
        <f t="shared" ref="J6:J69" ca="1" si="6">POWER(B6-$M$3,2)*(F6-F5)</f>
        <v>0.71372651417135669</v>
      </c>
      <c r="Z6" t="s">
        <v>69</v>
      </c>
    </row>
    <row r="7" spans="1:27" x14ac:dyDescent="0.2">
      <c r="B7" s="66">
        <f ca="1"/>
        <v>0.5</v>
      </c>
      <c r="C7" s="46">
        <f t="shared" ca="1" si="0"/>
        <v>1</v>
      </c>
      <c r="D7" s="46">
        <f t="shared" ca="1" si="1"/>
        <v>56</v>
      </c>
      <c r="E7" s="74">
        <f t="shared" ca="1" si="2"/>
        <v>0.9821428571428571</v>
      </c>
      <c r="F7">
        <f t="shared" ca="1" si="3"/>
        <v>6.5116279069767455E-2</v>
      </c>
      <c r="G7" s="76">
        <f ca="1">(B8-B7)*F7</f>
        <v>6.5116279069767444E-3</v>
      </c>
      <c r="H7" s="76">
        <f ca="1">SUM($G$4:G7)</f>
        <v>3.764732558139533E-2</v>
      </c>
      <c r="I7" s="76">
        <f t="shared" ca="1" si="5"/>
        <v>5.8139534883722144E-4</v>
      </c>
      <c r="J7" s="76">
        <f t="shared" ca="1" si="6"/>
        <v>0.70682928134278344</v>
      </c>
      <c r="P7" s="146" t="s">
        <v>59</v>
      </c>
      <c r="Q7" s="69" t="s">
        <v>60</v>
      </c>
      <c r="R7" s="69" t="s">
        <v>61</v>
      </c>
      <c r="S7" s="69" t="str">
        <f>"1-m/n"</f>
        <v>1-m/n</v>
      </c>
      <c r="T7" s="69" t="s">
        <v>62</v>
      </c>
      <c r="U7" s="69" t="s">
        <v>63</v>
      </c>
      <c r="V7" s="147" t="s">
        <v>64</v>
      </c>
      <c r="W7" s="67" t="s">
        <v>65</v>
      </c>
      <c r="X7" s="77" t="s">
        <v>66</v>
      </c>
      <c r="Z7" s="146" t="s">
        <v>62</v>
      </c>
      <c r="AA7" s="147" t="s">
        <v>64</v>
      </c>
    </row>
    <row r="8" spans="1:27" x14ac:dyDescent="0.2">
      <c r="B8" s="66">
        <f ca="1"/>
        <v>0.6</v>
      </c>
      <c r="C8" s="46">
        <f t="shared" ca="1" si="0"/>
        <v>1</v>
      </c>
      <c r="D8" s="46">
        <f t="shared" ca="1" si="1"/>
        <v>57</v>
      </c>
      <c r="E8" s="74">
        <f t="shared" ca="1" si="2"/>
        <v>0.98245614035087714</v>
      </c>
      <c r="F8">
        <f t="shared" ca="1" si="3"/>
        <v>6.6279069767441995E-2</v>
      </c>
      <c r="G8" s="76">
        <f t="shared" ca="1" si="4"/>
        <v>1.0604651162790722E-2</v>
      </c>
      <c r="H8" s="76">
        <f ca="1">SUM($G$4:G8)</f>
        <v>4.8251976744186048E-2</v>
      </c>
      <c r="I8" s="76">
        <f t="shared" ca="1" si="5"/>
        <v>6.9767441860472403E-4</v>
      </c>
      <c r="J8" s="76">
        <f t="shared" ca="1" si="6"/>
        <v>0.70110716871439405</v>
      </c>
      <c r="P8">
        <v>2</v>
      </c>
      <c r="Q8">
        <v>1</v>
      </c>
      <c r="R8">
        <v>3</v>
      </c>
      <c r="S8" s="73">
        <f t="shared" ref="S8:S24" si="7">1-Q8/R8</f>
        <v>0.66666666666666674</v>
      </c>
      <c r="T8" s="73">
        <f>PRODUCT(S9:S25)</f>
        <v>0.20773706896551725</v>
      </c>
      <c r="U8" s="73">
        <f t="shared" ref="U8:U23" si="8">(P9-P8)*T8</f>
        <v>0.10386853448275862</v>
      </c>
      <c r="V8" s="75">
        <f>SUM($U$8:U8)</f>
        <v>0.10386853448275862</v>
      </c>
      <c r="W8" s="76">
        <f>P8*T8</f>
        <v>0.41547413793103449</v>
      </c>
      <c r="X8">
        <f>POWER((P8-$W$1),2)*T8</f>
        <v>21718.594450142005</v>
      </c>
      <c r="Z8">
        <v>0.2077</v>
      </c>
      <c r="AA8">
        <v>0.10390000000000001</v>
      </c>
    </row>
    <row r="9" spans="1:27" x14ac:dyDescent="0.2">
      <c r="B9" s="66">
        <f ca="1"/>
        <v>0.76</v>
      </c>
      <c r="C9" s="46">
        <f t="shared" ca="1" si="0"/>
        <v>1</v>
      </c>
      <c r="D9" s="46">
        <f t="shared" ca="1" si="1"/>
        <v>58</v>
      </c>
      <c r="E9" s="74">
        <f t="shared" ca="1" si="2"/>
        <v>0.98275862068965514</v>
      </c>
      <c r="F9">
        <f t="shared" ca="1" si="3"/>
        <v>6.7441860465116327E-2</v>
      </c>
      <c r="G9" s="76">
        <f t="shared" ca="1" si="4"/>
        <v>1.0790697674418615E-2</v>
      </c>
      <c r="H9" s="76">
        <f ca="1">SUM($G$4:G9)</f>
        <v>5.9042674418604661E-2</v>
      </c>
      <c r="I9" s="76">
        <f t="shared" ca="1" si="5"/>
        <v>8.8372093023249222E-4</v>
      </c>
      <c r="J9" s="76">
        <f t="shared" ca="1" si="6"/>
        <v>0.69200016060177594</v>
      </c>
      <c r="P9">
        <v>2.5</v>
      </c>
      <c r="Q9">
        <v>1</v>
      </c>
      <c r="R9">
        <v>4</v>
      </c>
      <c r="S9" s="73">
        <f t="shared" si="7"/>
        <v>0.75</v>
      </c>
      <c r="T9" s="73">
        <f>PRODUCT(S10:S25)</f>
        <v>0.27698275862068972</v>
      </c>
      <c r="U9" s="73">
        <f t="shared" si="8"/>
        <v>8.3094827586206871E-2</v>
      </c>
      <c r="V9" s="75">
        <f>SUM($U$8:U9)</f>
        <v>0.18696336206896549</v>
      </c>
      <c r="W9" s="76">
        <f t="shared" ref="W9:W24" si="9">P9*(T9-T8)</f>
        <v>0.17311422413793118</v>
      </c>
      <c r="X9">
        <f t="shared" ref="X9:X24" si="10">POWER((P9-$W$1),2)*(T9-T8)</f>
        <v>7217.1589232012448</v>
      </c>
      <c r="Z9">
        <v>0.27700000000000002</v>
      </c>
      <c r="AA9">
        <v>0.187</v>
      </c>
    </row>
    <row r="10" spans="1:27" x14ac:dyDescent="0.2">
      <c r="B10" s="66">
        <f ca="1"/>
        <v>0.92</v>
      </c>
      <c r="C10" s="46">
        <f t="shared" ca="1" si="0"/>
        <v>1</v>
      </c>
      <c r="D10" s="46">
        <f t="shared" ca="1" si="1"/>
        <v>59</v>
      </c>
      <c r="E10" s="74">
        <f t="shared" ca="1" si="2"/>
        <v>0.98305084745762716</v>
      </c>
      <c r="F10">
        <f t="shared" ca="1" si="3"/>
        <v>6.8604651162790659E-2</v>
      </c>
      <c r="G10" s="76">
        <f t="shared" ca="1" si="4"/>
        <v>6.8604651162790719E-4</v>
      </c>
      <c r="H10" s="76">
        <f ca="1">SUM($G$4:G10)</f>
        <v>5.9728720930232571E-2</v>
      </c>
      <c r="I10" s="76">
        <f t="shared" ca="1" si="5"/>
        <v>1.0697674418603854E-3</v>
      </c>
      <c r="J10" s="76">
        <f t="shared" ca="1" si="6"/>
        <v>0.6829526873730043</v>
      </c>
      <c r="P10">
        <v>2.8</v>
      </c>
      <c r="Q10">
        <v>1</v>
      </c>
      <c r="R10">
        <v>5</v>
      </c>
      <c r="S10" s="73">
        <f t="shared" si="7"/>
        <v>0.8</v>
      </c>
      <c r="T10" s="73">
        <f>PRODUCT(S11:S25)</f>
        <v>0.34622844827586219</v>
      </c>
      <c r="U10" s="73">
        <f t="shared" si="8"/>
        <v>0.20773706896551736</v>
      </c>
      <c r="V10" s="75">
        <f>SUM($U$8:U10)</f>
        <v>0.39470043103448282</v>
      </c>
      <c r="W10" s="76">
        <f t="shared" si="9"/>
        <v>0.1938879310344829</v>
      </c>
      <c r="X10">
        <f t="shared" si="10"/>
        <v>7203.7520060591032</v>
      </c>
      <c r="Z10">
        <v>0.34620000000000001</v>
      </c>
      <c r="AA10">
        <v>0.3947</v>
      </c>
    </row>
    <row r="11" spans="1:27" x14ac:dyDescent="0.2">
      <c r="B11" s="66">
        <f ca="1"/>
        <v>0.93</v>
      </c>
      <c r="C11" s="46">
        <f t="shared" ca="1" si="0"/>
        <v>1</v>
      </c>
      <c r="D11" s="46">
        <f t="shared" ca="1" si="1"/>
        <v>60</v>
      </c>
      <c r="E11" s="74">
        <f t="shared" ca="1" si="2"/>
        <v>0.98333333333333328</v>
      </c>
      <c r="F11">
        <f t="shared" ca="1" si="3"/>
        <v>6.9767441860465199E-2</v>
      </c>
      <c r="G11" s="76">
        <f t="shared" ca="1" si="4"/>
        <v>6.9767441860464489E-4</v>
      </c>
      <c r="H11" s="76">
        <f ca="1">SUM($G$4:G11)</f>
        <v>6.0426395348837217E-2</v>
      </c>
      <c r="I11" s="76">
        <f t="shared" ca="1" si="5"/>
        <v>1.0813953488373223E-3</v>
      </c>
      <c r="J11" s="76">
        <f t="shared" ca="1" si="6"/>
        <v>0.68238919704051437</v>
      </c>
      <c r="P11">
        <v>3.4</v>
      </c>
      <c r="Q11">
        <v>1</v>
      </c>
      <c r="R11">
        <v>7</v>
      </c>
      <c r="S11" s="73">
        <f t="shared" si="7"/>
        <v>0.85714285714285721</v>
      </c>
      <c r="T11" s="73">
        <f>PRODUCT(S12:S25)</f>
        <v>0.40393318965517228</v>
      </c>
      <c r="U11" s="73">
        <f t="shared" si="8"/>
        <v>0.20196659482758614</v>
      </c>
      <c r="V11" s="75">
        <f>SUM($U$8:U11)</f>
        <v>0.59666702586206899</v>
      </c>
      <c r="W11" s="76">
        <f t="shared" si="9"/>
        <v>0.19619612068965428</v>
      </c>
      <c r="X11">
        <f t="shared" si="10"/>
        <v>5980.8129703726663</v>
      </c>
      <c r="Z11">
        <v>0.40389999999999998</v>
      </c>
      <c r="AA11">
        <v>0.59670000000000001</v>
      </c>
    </row>
    <row r="12" spans="1:27" x14ac:dyDescent="0.2">
      <c r="B12" s="66">
        <f ca="1"/>
        <v>0.94</v>
      </c>
      <c r="C12" s="46">
        <f t="shared" ca="1" si="0"/>
        <v>1</v>
      </c>
      <c r="D12" s="46">
        <f t="shared" ca="1" si="1"/>
        <v>61</v>
      </c>
      <c r="E12" s="74">
        <f t="shared" ca="1" si="2"/>
        <v>0.98360655737704916</v>
      </c>
      <c r="F12">
        <f t="shared" ca="1" si="3"/>
        <v>7.0930232558139614E-2</v>
      </c>
      <c r="G12" s="76">
        <f t="shared" ca="1" si="4"/>
        <v>4.2558139534883809E-3</v>
      </c>
      <c r="H12" s="76">
        <f ca="1">SUM($G$4:G12)</f>
        <v>6.46822093023256E-2</v>
      </c>
      <c r="I12" s="76">
        <f t="shared" ca="1" si="5"/>
        <v>1.0930232558139501E-3</v>
      </c>
      <c r="J12" s="76">
        <f t="shared" ca="1" si="6"/>
        <v>0.68182593926596835</v>
      </c>
      <c r="P12">
        <v>3.9</v>
      </c>
      <c r="Q12">
        <v>1</v>
      </c>
      <c r="R12">
        <v>8</v>
      </c>
      <c r="S12" s="73">
        <f t="shared" si="7"/>
        <v>0.875</v>
      </c>
      <c r="T12" s="73">
        <f t="shared" ref="T12:T24" si="11">PRODUCT(S13:S25)</f>
        <v>0.46163793103448275</v>
      </c>
      <c r="U12" s="73">
        <f t="shared" si="8"/>
        <v>0.27698275862068972</v>
      </c>
      <c r="V12" s="75">
        <f>SUM($U$8:U12)</f>
        <v>0.87364978448275865</v>
      </c>
      <c r="W12" s="76">
        <f t="shared" si="9"/>
        <v>0.22504849137931085</v>
      </c>
      <c r="X12">
        <f t="shared" si="10"/>
        <v>5962.2499568611138</v>
      </c>
      <c r="Z12">
        <v>0.46160000000000001</v>
      </c>
      <c r="AA12">
        <v>0.87360000000000004</v>
      </c>
    </row>
    <row r="13" spans="1:27" x14ac:dyDescent="0.2">
      <c r="B13" s="66">
        <f ca="1"/>
        <v>1</v>
      </c>
      <c r="C13" s="46">
        <f t="shared" ca="1" si="0"/>
        <v>4</v>
      </c>
      <c r="D13" s="46">
        <f t="shared" ca="1" si="1"/>
        <v>65</v>
      </c>
      <c r="E13" s="74">
        <f t="shared" ca="1" si="2"/>
        <v>0.93846153846153846</v>
      </c>
      <c r="F13">
        <f t="shared" ca="1" si="3"/>
        <v>7.5581395348837246E-2</v>
      </c>
      <c r="G13" s="76">
        <f t="shared" ca="1" si="4"/>
        <v>1.5116279069767445E-2</v>
      </c>
      <c r="H13" s="76">
        <f ca="1">SUM($G$4:G13)</f>
        <v>7.9798488372093052E-2</v>
      </c>
      <c r="I13" s="76">
        <f t="shared" ca="1" si="5"/>
        <v>4.6511627906976327E-3</v>
      </c>
      <c r="J13" s="76">
        <f t="shared" ca="1" si="6"/>
        <v>2.7138051053602341</v>
      </c>
      <c r="P13">
        <v>4.5</v>
      </c>
      <c r="Q13">
        <v>1</v>
      </c>
      <c r="R13">
        <v>12</v>
      </c>
      <c r="S13" s="73">
        <f t="shared" si="7"/>
        <v>0.91666666666666663</v>
      </c>
      <c r="T13" s="73">
        <f t="shared" si="11"/>
        <v>0.50360501567398119</v>
      </c>
      <c r="U13" s="73">
        <f t="shared" si="8"/>
        <v>0.20144200626959266</v>
      </c>
      <c r="V13" s="75">
        <f>SUM($U$8:U13)</f>
        <v>1.0750917907523514</v>
      </c>
      <c r="W13" s="76">
        <f t="shared" si="9"/>
        <v>0.18885188087774299</v>
      </c>
      <c r="X13">
        <f t="shared" si="10"/>
        <v>4320.0090369283635</v>
      </c>
      <c r="Z13">
        <v>0.50360000000000005</v>
      </c>
      <c r="AA13">
        <v>1.0750999999999999</v>
      </c>
    </row>
    <row r="14" spans="1:27" x14ac:dyDescent="0.2">
      <c r="B14" s="66">
        <f ca="1"/>
        <v>1.2</v>
      </c>
      <c r="C14" s="46">
        <f t="shared" ca="1" si="0"/>
        <v>3</v>
      </c>
      <c r="D14" s="46">
        <f t="shared" ca="1" si="1"/>
        <v>68</v>
      </c>
      <c r="E14" s="74">
        <f t="shared" ca="1" si="2"/>
        <v>0.95588235294117652</v>
      </c>
      <c r="F14">
        <f t="shared" ca="1" si="3"/>
        <v>7.9069767441860478E-2</v>
      </c>
      <c r="G14" s="76">
        <f t="shared" ca="1" si="4"/>
        <v>3.9534883720930272E-3</v>
      </c>
      <c r="H14" s="76">
        <f ca="1">SUM($G$4:G14)</f>
        <v>8.375197674418608E-2</v>
      </c>
      <c r="I14" s="76">
        <f t="shared" ca="1" si="5"/>
        <v>4.1860465116278778E-3</v>
      </c>
      <c r="J14" s="76">
        <f t="shared" ca="1" si="6"/>
        <v>2.0017885951099577</v>
      </c>
      <c r="P14">
        <v>4.9000000000000004</v>
      </c>
      <c r="Q14">
        <v>1</v>
      </c>
      <c r="R14">
        <v>13</v>
      </c>
      <c r="S14" s="73">
        <f t="shared" si="7"/>
        <v>0.92307692307692313</v>
      </c>
      <c r="T14" s="73">
        <f t="shared" si="11"/>
        <v>0.5455721003134798</v>
      </c>
      <c r="U14" s="73">
        <f t="shared" si="8"/>
        <v>0.32734326018808768</v>
      </c>
      <c r="V14" s="75">
        <f>SUM($U$8:U14)</f>
        <v>1.4024350509404391</v>
      </c>
      <c r="W14" s="76">
        <f t="shared" si="9"/>
        <v>0.2056387147335432</v>
      </c>
      <c r="X14">
        <f t="shared" si="10"/>
        <v>4309.243990509096</v>
      </c>
      <c r="Z14">
        <v>0.54559999999999997</v>
      </c>
      <c r="AA14">
        <v>1.4024000000000001</v>
      </c>
    </row>
    <row r="15" spans="1:27" x14ac:dyDescent="0.2">
      <c r="B15" s="66">
        <f ca="1"/>
        <v>1.25</v>
      </c>
      <c r="C15" s="46">
        <f t="shared" ca="1" si="0"/>
        <v>1</v>
      </c>
      <c r="D15" s="46">
        <f t="shared" ca="1" si="1"/>
        <v>69</v>
      </c>
      <c r="E15" s="74">
        <f t="shared" ca="1" si="2"/>
        <v>0.98550724637681164</v>
      </c>
      <c r="F15">
        <f t="shared" ca="1" si="3"/>
        <v>8.0232558139534768E-2</v>
      </c>
      <c r="G15" s="76">
        <f t="shared" ca="1" si="4"/>
        <v>4.0116279069767422E-3</v>
      </c>
      <c r="H15" s="76">
        <f ca="1">SUM($G$4:G15)</f>
        <v>8.7763604651162827E-2</v>
      </c>
      <c r="I15" s="76">
        <f t="shared" ca="1" si="5"/>
        <v>1.4534883720928628E-3</v>
      </c>
      <c r="J15" s="76">
        <f t="shared" ca="1" si="6"/>
        <v>0.66448029709445311</v>
      </c>
      <c r="P15">
        <v>5.5</v>
      </c>
      <c r="Q15">
        <v>3</v>
      </c>
      <c r="R15">
        <v>16</v>
      </c>
      <c r="S15" s="73">
        <f t="shared" si="7"/>
        <v>0.8125</v>
      </c>
      <c r="T15" s="73">
        <f t="shared" si="11"/>
        <v>0.67147335423197496</v>
      </c>
      <c r="U15" s="73">
        <f t="shared" si="8"/>
        <v>0.80576802507837009</v>
      </c>
      <c r="V15" s="75">
        <f>SUM($U$8:U15)</f>
        <v>2.2082030760188092</v>
      </c>
      <c r="W15" s="76">
        <f t="shared" si="9"/>
        <v>0.69245689655172338</v>
      </c>
      <c r="X15">
        <f t="shared" si="10"/>
        <v>12879.364803392789</v>
      </c>
      <c r="Z15">
        <v>0.67149999999999999</v>
      </c>
      <c r="AA15">
        <v>2.2082000000000002</v>
      </c>
    </row>
    <row r="16" spans="1:27" x14ac:dyDescent="0.2">
      <c r="B16" s="66">
        <f ca="1"/>
        <v>1.3</v>
      </c>
      <c r="C16" s="46">
        <f t="shared" ca="1" si="0"/>
        <v>3</v>
      </c>
      <c r="D16" s="46">
        <f t="shared" ca="1" si="1"/>
        <v>72</v>
      </c>
      <c r="E16" s="74">
        <f t="shared" ca="1" si="2"/>
        <v>0.95833333333333337</v>
      </c>
      <c r="F16">
        <f t="shared" ca="1" si="3"/>
        <v>8.3720930232558083E-2</v>
      </c>
      <c r="G16" s="76">
        <f t="shared" ca="1" si="4"/>
        <v>1.6744186046511612E-2</v>
      </c>
      <c r="H16" s="76">
        <f ca="1">SUM($G$4:G16)</f>
        <v>0.10450779069767444</v>
      </c>
      <c r="I16" s="76">
        <f t="shared" ca="1" si="5"/>
        <v>4.5348837209303093E-3</v>
      </c>
      <c r="J16" s="76">
        <f t="shared" ca="1" si="6"/>
        <v>1.9851106293176852</v>
      </c>
      <c r="P16">
        <v>6.7</v>
      </c>
      <c r="Q16">
        <v>1</v>
      </c>
      <c r="R16">
        <v>18</v>
      </c>
      <c r="S16" s="73">
        <f t="shared" si="7"/>
        <v>0.94444444444444442</v>
      </c>
      <c r="T16" s="73">
        <f t="shared" si="11"/>
        <v>0.71097178683385598</v>
      </c>
      <c r="U16" s="73">
        <f t="shared" si="8"/>
        <v>0.14219435736677133</v>
      </c>
      <c r="V16" s="75">
        <f>SUM($U$8:U16)</f>
        <v>2.3503974333855804</v>
      </c>
      <c r="W16" s="76">
        <f t="shared" si="9"/>
        <v>0.26463949843260282</v>
      </c>
      <c r="X16">
        <f t="shared" si="10"/>
        <v>4010.322325908221</v>
      </c>
      <c r="Z16">
        <v>0.71099999999999997</v>
      </c>
      <c r="AA16">
        <v>2.3504</v>
      </c>
    </row>
    <row r="17" spans="2:27" x14ac:dyDescent="0.2">
      <c r="B17" s="66">
        <f ca="1"/>
        <v>1.5</v>
      </c>
      <c r="C17" s="46">
        <f t="shared" ca="1" si="0"/>
        <v>2</v>
      </c>
      <c r="D17" s="46">
        <f t="shared" ca="1" si="1"/>
        <v>74</v>
      </c>
      <c r="E17" s="74">
        <f t="shared" ca="1" si="2"/>
        <v>0.97297297297297303</v>
      </c>
      <c r="F17">
        <f t="shared" ca="1" si="3"/>
        <v>8.6046511627907052E-2</v>
      </c>
      <c r="G17" s="76">
        <f t="shared" ca="1" si="4"/>
        <v>5.1627906976744273E-3</v>
      </c>
      <c r="H17" s="76">
        <f ca="1">SUM($G$4:G17)</f>
        <v>0.10967058139534887</v>
      </c>
      <c r="I17" s="76">
        <f t="shared" ca="1" si="5"/>
        <v>3.4883720930234535E-3</v>
      </c>
      <c r="J17" s="76">
        <f t="shared" ca="1" si="6"/>
        <v>1.301309333372469</v>
      </c>
      <c r="P17">
        <v>6.9</v>
      </c>
      <c r="Q17">
        <v>1</v>
      </c>
      <c r="R17">
        <v>19</v>
      </c>
      <c r="S17" s="73">
        <f t="shared" si="7"/>
        <v>0.94736842105263164</v>
      </c>
      <c r="T17" s="73">
        <f t="shared" si="11"/>
        <v>0.75047021943573677</v>
      </c>
      <c r="U17" s="73">
        <f t="shared" si="8"/>
        <v>0.37523510971786839</v>
      </c>
      <c r="V17" s="75">
        <f>SUM($U$8:U17)</f>
        <v>2.7256325431034489</v>
      </c>
      <c r="W17" s="76">
        <f t="shared" si="9"/>
        <v>0.27253918495297752</v>
      </c>
      <c r="X17">
        <f t="shared" si="10"/>
        <v>4005.2896003942742</v>
      </c>
      <c r="Z17">
        <v>0.75049999999999994</v>
      </c>
      <c r="AA17">
        <v>2.7256</v>
      </c>
    </row>
    <row r="18" spans="2:27" x14ac:dyDescent="0.2">
      <c r="B18" s="66">
        <f ca="1"/>
        <v>1.56</v>
      </c>
      <c r="C18" s="46">
        <f t="shared" ca="1" si="0"/>
        <v>1</v>
      </c>
      <c r="D18" s="46">
        <f t="shared" ca="1" si="1"/>
        <v>75</v>
      </c>
      <c r="E18" s="74">
        <f t="shared" ca="1" si="2"/>
        <v>0.98666666666666669</v>
      </c>
      <c r="F18">
        <f t="shared" ca="1" si="3"/>
        <v>8.7209302325581245E-2</v>
      </c>
      <c r="G18" s="76">
        <f t="shared" ca="1" si="4"/>
        <v>1.2209302325581366E-2</v>
      </c>
      <c r="H18" s="76">
        <f ca="1">SUM($G$4:G18)</f>
        <v>0.12187988372093023</v>
      </c>
      <c r="I18" s="76">
        <f t="shared" ca="1" si="5"/>
        <v>1.8139534883717414E-3</v>
      </c>
      <c r="J18" s="76">
        <f t="shared" ca="1" si="6"/>
        <v>0.64735814329504993</v>
      </c>
      <c r="P18">
        <v>7.4</v>
      </c>
      <c r="Q18">
        <v>1</v>
      </c>
      <c r="R18">
        <v>20</v>
      </c>
      <c r="S18" s="73">
        <f t="shared" si="7"/>
        <v>0.95</v>
      </c>
      <c r="T18" s="73">
        <f t="shared" si="11"/>
        <v>0.78996865203761768</v>
      </c>
      <c r="U18" s="73">
        <f t="shared" si="8"/>
        <v>1.658934169278997</v>
      </c>
      <c r="V18" s="75">
        <f>SUM($U$8:U18)</f>
        <v>4.3845667123824459</v>
      </c>
      <c r="W18" s="76">
        <f t="shared" si="9"/>
        <v>0.29228840125391869</v>
      </c>
      <c r="X18">
        <f t="shared" si="10"/>
        <v>3992.7216110608838</v>
      </c>
      <c r="Z18">
        <v>0.79</v>
      </c>
      <c r="AA18">
        <v>4.3845999999999998</v>
      </c>
    </row>
    <row r="19" spans="2:27" x14ac:dyDescent="0.2">
      <c r="B19" s="66">
        <f ca="1"/>
        <v>1.7</v>
      </c>
      <c r="C19" s="46">
        <f t="shared" ca="1" si="0"/>
        <v>3</v>
      </c>
      <c r="D19" s="46">
        <f t="shared" ca="1" si="1"/>
        <v>78</v>
      </c>
      <c r="E19" s="74">
        <f t="shared" ca="1" si="2"/>
        <v>0.96153846153846156</v>
      </c>
      <c r="F19">
        <f t="shared" ca="1" si="3"/>
        <v>9.0697674418604657E-2</v>
      </c>
      <c r="G19" s="76">
        <f t="shared" ca="1" si="4"/>
        <v>9.069767441860473E-3</v>
      </c>
      <c r="H19" s="76">
        <f ca="1">SUM($G$4:G19)</f>
        <v>0.1309496511627907</v>
      </c>
      <c r="I19" s="76">
        <f t="shared" ca="1" si="5"/>
        <v>5.9302325581397997E-3</v>
      </c>
      <c r="J19" s="76">
        <f t="shared" ca="1" si="6"/>
        <v>1.9190964405670616</v>
      </c>
      <c r="P19">
        <v>9.5</v>
      </c>
      <c r="Q19">
        <v>1</v>
      </c>
      <c r="R19">
        <v>22</v>
      </c>
      <c r="S19" s="73">
        <f t="shared" si="7"/>
        <v>0.95454545454545459</v>
      </c>
      <c r="T19" s="73">
        <f t="shared" si="11"/>
        <v>0.82758620689655171</v>
      </c>
      <c r="U19" s="73">
        <f t="shared" si="8"/>
        <v>0.41379310344827586</v>
      </c>
      <c r="V19" s="75">
        <f>SUM($U$8:U19)</f>
        <v>4.7983598158307217</v>
      </c>
      <c r="W19" s="76">
        <f t="shared" si="9"/>
        <v>0.35736677115987331</v>
      </c>
      <c r="X19">
        <f t="shared" si="10"/>
        <v>3752.5254450500829</v>
      </c>
      <c r="Z19">
        <v>0.8276</v>
      </c>
      <c r="AA19">
        <v>4.7984</v>
      </c>
    </row>
    <row r="20" spans="2:27" x14ac:dyDescent="0.2">
      <c r="B20" s="66">
        <f ca="1"/>
        <v>1.8</v>
      </c>
      <c r="C20" s="46">
        <f t="shared" ca="1" si="0"/>
        <v>1</v>
      </c>
      <c r="D20" s="46">
        <f t="shared" ca="1" si="1"/>
        <v>79</v>
      </c>
      <c r="E20" s="74">
        <f t="shared" ca="1" si="2"/>
        <v>0.98734177215189878</v>
      </c>
      <c r="F20">
        <f t="shared" ca="1" si="3"/>
        <v>9.1860465116279016E-2</v>
      </c>
      <c r="G20" s="76">
        <f t="shared" ca="1" si="4"/>
        <v>9.1860465116278892E-3</v>
      </c>
      <c r="H20" s="76">
        <f ca="1">SUM($G$4:G20)</f>
        <v>0.14013569767441858</v>
      </c>
      <c r="I20" s="76">
        <f t="shared" ca="1" si="5"/>
        <v>2.0930232558138474E-3</v>
      </c>
      <c r="J20" s="76">
        <f t="shared" ca="1" si="6"/>
        <v>0.63425577066128702</v>
      </c>
      <c r="P20">
        <v>10</v>
      </c>
      <c r="Q20">
        <v>1</v>
      </c>
      <c r="R20">
        <v>25</v>
      </c>
      <c r="S20" s="73">
        <f t="shared" si="7"/>
        <v>0.96</v>
      </c>
      <c r="T20" s="73">
        <f t="shared" si="11"/>
        <v>0.86206896551724155</v>
      </c>
      <c r="U20" s="73">
        <f t="shared" si="8"/>
        <v>4.3103448275862082</v>
      </c>
      <c r="V20" s="75">
        <f>SUM($U$8:U20)</f>
        <v>9.1087046434169299</v>
      </c>
      <c r="W20" s="76">
        <f t="shared" si="9"/>
        <v>0.34482758620689835</v>
      </c>
      <c r="X20">
        <f t="shared" si="10"/>
        <v>3428.9325922884</v>
      </c>
      <c r="Z20">
        <v>0.86209999999999998</v>
      </c>
      <c r="AA20">
        <v>9.1087000000000007</v>
      </c>
    </row>
    <row r="21" spans="2:27" x14ac:dyDescent="0.2">
      <c r="B21" s="66">
        <f ca="1"/>
        <v>1.9</v>
      </c>
      <c r="C21" s="46">
        <f t="shared" ca="1" si="0"/>
        <v>3</v>
      </c>
      <c r="D21" s="46">
        <f t="shared" ca="1" si="1"/>
        <v>82</v>
      </c>
      <c r="E21" s="74">
        <f t="shared" ca="1" si="2"/>
        <v>0.96341463414634143</v>
      </c>
      <c r="F21">
        <f t="shared" ca="1" si="3"/>
        <v>9.5348837209302414E-2</v>
      </c>
      <c r="G21" s="76">
        <f t="shared" ca="1" si="4"/>
        <v>9.5348837209302505E-3</v>
      </c>
      <c r="H21" s="76">
        <f ca="1">SUM($G$4:G21)</f>
        <v>0.14967058139534883</v>
      </c>
      <c r="I21" s="76">
        <f t="shared" ca="1" si="5"/>
        <v>6.6279069767444555E-3</v>
      </c>
      <c r="J21" s="76">
        <f t="shared" ca="1" si="6"/>
        <v>1.8865079508428775</v>
      </c>
      <c r="P21">
        <v>15</v>
      </c>
      <c r="Q21">
        <v>1</v>
      </c>
      <c r="R21">
        <v>26</v>
      </c>
      <c r="S21" s="73">
        <f t="shared" si="7"/>
        <v>0.96153846153846156</v>
      </c>
      <c r="T21" s="73">
        <f t="shared" si="11"/>
        <v>0.89655172413793105</v>
      </c>
      <c r="U21" s="73">
        <f t="shared" si="8"/>
        <v>30.482758620689655</v>
      </c>
      <c r="V21" s="75">
        <f>SUM($U$8:U21)</f>
        <v>39.591463264106586</v>
      </c>
      <c r="W21" s="76">
        <f t="shared" si="9"/>
        <v>0.51724137931034253</v>
      </c>
      <c r="X21">
        <f t="shared" si="10"/>
        <v>3321.0568780750391</v>
      </c>
      <c r="Z21">
        <v>0.89659999999999995</v>
      </c>
      <c r="AA21">
        <v>39.590000000000003</v>
      </c>
    </row>
    <row r="22" spans="2:27" x14ac:dyDescent="0.2">
      <c r="B22" s="66">
        <f ca="1"/>
        <v>2</v>
      </c>
      <c r="C22" s="46">
        <f t="shared" ca="1" si="0"/>
        <v>4</v>
      </c>
      <c r="D22" s="46">
        <f t="shared" ca="1" si="1"/>
        <v>86</v>
      </c>
      <c r="E22" s="74">
        <f t="shared" ca="1" si="2"/>
        <v>0.95348837209302328</v>
      </c>
      <c r="F22">
        <f t="shared" ca="1" si="3"/>
        <v>9.9999999999999867E-2</v>
      </c>
      <c r="G22" s="76">
        <f t="shared" ca="1" si="4"/>
        <v>1.999999999999999E-2</v>
      </c>
      <c r="H22" s="76">
        <f ca="1">SUM($G$4:G22)</f>
        <v>0.16967058139534882</v>
      </c>
      <c r="I22" s="76">
        <f t="shared" ca="1" si="5"/>
        <v>9.3023255813949046E-3</v>
      </c>
      <c r="J22" s="76">
        <f t="shared" ca="1" si="6"/>
        <v>2.4937578095245523</v>
      </c>
      <c r="P22">
        <v>49</v>
      </c>
      <c r="Q22">
        <v>1</v>
      </c>
      <c r="R22">
        <v>27</v>
      </c>
      <c r="S22" s="73">
        <f t="shared" si="7"/>
        <v>0.96296296296296302</v>
      </c>
      <c r="T22" s="73">
        <f t="shared" si="11"/>
        <v>0.93103448275862077</v>
      </c>
      <c r="U22" s="73">
        <f t="shared" si="8"/>
        <v>140.58620689655174</v>
      </c>
      <c r="V22" s="75">
        <f>SUM($U$8:U22)</f>
        <v>180.17767016065832</v>
      </c>
      <c r="W22" s="76">
        <f t="shared" si="9"/>
        <v>1.6896551724137965</v>
      </c>
      <c r="X22">
        <f t="shared" si="10"/>
        <v>2633.2261593554622</v>
      </c>
      <c r="Z22">
        <v>0.93100000000000005</v>
      </c>
      <c r="AA22">
        <v>180.2</v>
      </c>
    </row>
    <row r="23" spans="2:27" x14ac:dyDescent="0.2">
      <c r="B23" s="66">
        <f ca="1"/>
        <v>2.2000000000000002</v>
      </c>
      <c r="C23" s="46">
        <f t="shared" ca="1" si="0"/>
        <v>5</v>
      </c>
      <c r="D23" s="46">
        <f t="shared" ca="1" si="1"/>
        <v>91</v>
      </c>
      <c r="E23" s="74">
        <f t="shared" ca="1" si="2"/>
        <v>0.94505494505494503</v>
      </c>
      <c r="F23">
        <f t="shared" ca="1" si="3"/>
        <v>0.10581395348837212</v>
      </c>
      <c r="G23" s="76">
        <f t="shared" ca="1" si="4"/>
        <v>1.0581395348837175E-2</v>
      </c>
      <c r="H23" s="76">
        <f ca="1">SUM($G$4:G23)</f>
        <v>0.180251976744186</v>
      </c>
      <c r="I23" s="76">
        <f t="shared" ca="1" si="5"/>
        <v>1.2790697674418964E-2</v>
      </c>
      <c r="J23" s="76">
        <f t="shared" ca="1" si="6"/>
        <v>3.0635807867842382</v>
      </c>
      <c r="P23">
        <v>200</v>
      </c>
      <c r="Q23">
        <v>1</v>
      </c>
      <c r="R23">
        <v>28</v>
      </c>
      <c r="S23" s="73">
        <f t="shared" si="7"/>
        <v>0.9642857142857143</v>
      </c>
      <c r="T23" s="73">
        <f t="shared" si="11"/>
        <v>0.96551724137931039</v>
      </c>
      <c r="U23" s="73">
        <f t="shared" si="8"/>
        <v>8554.4827586206902</v>
      </c>
      <c r="V23" s="75">
        <f>SUM($U$8:U23)</f>
        <v>8734.6604287813479</v>
      </c>
      <c r="W23" s="76">
        <f t="shared" si="9"/>
        <v>6.8965517241379226</v>
      </c>
      <c r="X23">
        <f t="shared" si="10"/>
        <v>541.72441769915281</v>
      </c>
      <c r="Z23">
        <v>0.96550000000000002</v>
      </c>
      <c r="AA23">
        <v>8735</v>
      </c>
    </row>
    <row r="24" spans="2:27" x14ac:dyDescent="0.2">
      <c r="B24" s="66">
        <f ca="1"/>
        <v>2.2999999999999998</v>
      </c>
      <c r="C24" s="46">
        <f t="shared" ca="1" si="0"/>
        <v>4</v>
      </c>
      <c r="D24" s="46">
        <f t="shared" ca="1" si="1"/>
        <v>95</v>
      </c>
      <c r="E24" s="74">
        <f t="shared" ca="1" si="2"/>
        <v>0.95789473684210524</v>
      </c>
      <c r="F24">
        <f t="shared" ca="1" si="3"/>
        <v>0.11046511627906984</v>
      </c>
      <c r="G24" s="76">
        <f t="shared" ca="1" si="4"/>
        <v>4.4186046511627972E-4</v>
      </c>
      <c r="H24" s="76">
        <f ca="1">SUM($G$4:G24)</f>
        <v>0.18069383720930227</v>
      </c>
      <c r="I24" s="76">
        <f t="shared" ca="1" si="5"/>
        <v>1.0697674418604745E-2</v>
      </c>
      <c r="J24" s="76">
        <f t="shared" ca="1" si="6"/>
        <v>2.4295575742623892</v>
      </c>
      <c r="P24">
        <v>9060</v>
      </c>
      <c r="Q24">
        <v>1</v>
      </c>
      <c r="R24">
        <v>29</v>
      </c>
      <c r="S24" s="73">
        <f t="shared" si="7"/>
        <v>0.96551724137931039</v>
      </c>
      <c r="T24" s="73">
        <f t="shared" si="11"/>
        <v>1</v>
      </c>
      <c r="U24" s="73"/>
      <c r="W24" s="76">
        <f t="shared" si="9"/>
        <v>312.41379310344792</v>
      </c>
      <c r="X24">
        <f t="shared" si="10"/>
        <v>2630837.6829696093</v>
      </c>
      <c r="Z24">
        <v>1</v>
      </c>
    </row>
    <row r="25" spans="2:27" x14ac:dyDescent="0.2">
      <c r="B25" s="66">
        <f ca="1"/>
        <v>2.3039999999999998</v>
      </c>
      <c r="C25" s="46">
        <f t="shared" ca="1" si="0"/>
        <v>1</v>
      </c>
      <c r="D25" s="46">
        <f t="shared" ca="1" si="1"/>
        <v>96</v>
      </c>
      <c r="E25" s="74">
        <f t="shared" ca="1" si="2"/>
        <v>0.98958333333333337</v>
      </c>
      <c r="F25">
        <f t="shared" ca="1" si="3"/>
        <v>0.11162790697674409</v>
      </c>
      <c r="G25" s="76">
        <f t="shared" ca="1" si="4"/>
        <v>1.0716279069767442E-2</v>
      </c>
      <c r="H25" s="76">
        <f ca="1">SUM($G$4:G25)</f>
        <v>0.1914101162790697</v>
      </c>
      <c r="I25" s="76">
        <f t="shared" ca="1" si="5"/>
        <v>2.6790697674414685E-3</v>
      </c>
      <c r="J25" s="76">
        <f t="shared" ca="1" si="6"/>
        <v>0.60717680673478391</v>
      </c>
      <c r="S25">
        <v>1</v>
      </c>
      <c r="W25" s="76"/>
    </row>
    <row r="26" spans="2:27" x14ac:dyDescent="0.2">
      <c r="B26" s="66">
        <f ca="1"/>
        <v>2.4</v>
      </c>
      <c r="C26" s="46">
        <f t="shared" ca="1" si="0"/>
        <v>4</v>
      </c>
      <c r="D26" s="46">
        <f t="shared" ca="1" si="1"/>
        <v>100</v>
      </c>
      <c r="E26" s="74">
        <f t="shared" ca="1" si="2"/>
        <v>0.96</v>
      </c>
      <c r="F26">
        <f t="shared" ca="1" si="3"/>
        <v>0.11627906976744182</v>
      </c>
      <c r="G26" s="76">
        <f t="shared" ca="1" si="4"/>
        <v>1.1627906976744193E-2</v>
      </c>
      <c r="H26" s="76">
        <f ca="1">SUM($G$4:G26)</f>
        <v>0.20303802325581388</v>
      </c>
      <c r="I26" s="76">
        <f t="shared" ca="1" si="5"/>
        <v>1.1162790697674551E-2</v>
      </c>
      <c r="J26" s="76">
        <f t="shared" ca="1" si="6"/>
        <v>2.408343542353256</v>
      </c>
    </row>
    <row r="27" spans="2:27" x14ac:dyDescent="0.2">
      <c r="B27" s="66">
        <f ca="1"/>
        <v>2.5</v>
      </c>
      <c r="C27" s="46">
        <f t="shared" ca="1" si="0"/>
        <v>2</v>
      </c>
      <c r="D27" s="46">
        <f t="shared" ca="1" si="1"/>
        <v>102</v>
      </c>
      <c r="E27" s="74">
        <f t="shared" ca="1" si="2"/>
        <v>0.98039215686274506</v>
      </c>
      <c r="F27">
        <f t="shared" ca="1" si="3"/>
        <v>0.11860465116279056</v>
      </c>
      <c r="G27" s="76">
        <f t="shared" ca="1" si="4"/>
        <v>1.1860465116279067E-2</v>
      </c>
      <c r="H27" s="76">
        <f ca="1">SUM($G$4:G27)</f>
        <v>0.21489848837209294</v>
      </c>
      <c r="I27" s="76">
        <f t="shared" ca="1" si="5"/>
        <v>5.8139534883718674E-3</v>
      </c>
      <c r="J27" s="76">
        <f t="shared" ca="1" si="6"/>
        <v>1.1936112668499044</v>
      </c>
    </row>
    <row r="28" spans="2:27" x14ac:dyDescent="0.2">
      <c r="B28" s="66">
        <f ca="1"/>
        <v>2.6</v>
      </c>
      <c r="C28" s="46">
        <f t="shared" ca="1" si="0"/>
        <v>2</v>
      </c>
      <c r="D28" s="46">
        <f t="shared" ca="1" si="1"/>
        <v>104</v>
      </c>
      <c r="E28" s="74">
        <f t="shared" ca="1" si="2"/>
        <v>0.98076923076923073</v>
      </c>
      <c r="F28">
        <f t="shared" ca="1" si="3"/>
        <v>0.12093023255813959</v>
      </c>
      <c r="G28" s="76">
        <f t="shared" ca="1" si="4"/>
        <v>2.4186046511627885E-2</v>
      </c>
      <c r="H28" s="76">
        <f ca="1">SUM($G$4:G28)</f>
        <v>0.23908453488372083</v>
      </c>
      <c r="I28" s="76">
        <f t="shared" ca="1" si="5"/>
        <v>6.0465116279074639E-3</v>
      </c>
      <c r="J28" s="76">
        <f t="shared" ca="1" si="6"/>
        <v>1.1830972741512895</v>
      </c>
    </row>
    <row r="29" spans="2:27" x14ac:dyDescent="0.2">
      <c r="B29" s="66">
        <f ca="1"/>
        <v>2.8</v>
      </c>
      <c r="C29" s="46">
        <f t="shared" ca="1" si="0"/>
        <v>2</v>
      </c>
      <c r="D29" s="46">
        <f t="shared" ca="1" si="1"/>
        <v>106</v>
      </c>
      <c r="E29" s="74">
        <f t="shared" ca="1" si="2"/>
        <v>0.98113207547169812</v>
      </c>
      <c r="F29">
        <f t="shared" ca="1" si="3"/>
        <v>0.12325581395348843</v>
      </c>
      <c r="G29" s="76">
        <f t="shared" ca="1" si="4"/>
        <v>1.2325581395348855E-2</v>
      </c>
      <c r="H29" s="76">
        <f ca="1">SUM($G$4:G29)</f>
        <v>0.25141011627906967</v>
      </c>
      <c r="I29" s="76">
        <f t="shared" ca="1" si="5"/>
        <v>6.5116279069767635E-3</v>
      </c>
      <c r="J29" s="76">
        <f t="shared" ca="1" si="6"/>
        <v>1.1622088236374066</v>
      </c>
    </row>
    <row r="30" spans="2:27" x14ac:dyDescent="0.2">
      <c r="B30" s="66">
        <f ca="1"/>
        <v>2.9</v>
      </c>
      <c r="C30" s="46">
        <f t="shared" ca="1" si="0"/>
        <v>3</v>
      </c>
      <c r="D30" s="46">
        <f t="shared" ca="1" si="1"/>
        <v>109</v>
      </c>
      <c r="E30" s="74">
        <f t="shared" ca="1" si="2"/>
        <v>0.97247706422018343</v>
      </c>
      <c r="F30">
        <f t="shared" ca="1" si="3"/>
        <v>0.12674418604651169</v>
      </c>
      <c r="G30" s="76">
        <f t="shared" ca="1" si="4"/>
        <v>1.267441860465118E-2</v>
      </c>
      <c r="H30" s="76">
        <f ca="1">SUM($G$4:G30)</f>
        <v>0.26408453488372086</v>
      </c>
      <c r="I30" s="76">
        <f t="shared" ca="1" si="5"/>
        <v>1.0116279069767451E-2</v>
      </c>
      <c r="J30" s="76">
        <f t="shared" ca="1" si="6"/>
        <v>1.7277515487335542</v>
      </c>
    </row>
    <row r="31" spans="2:27" x14ac:dyDescent="0.2">
      <c r="B31" s="66">
        <f ca="1"/>
        <v>3</v>
      </c>
      <c r="C31" s="46">
        <f t="shared" ca="1" si="0"/>
        <v>9</v>
      </c>
      <c r="D31" s="46">
        <f t="shared" ca="1" si="1"/>
        <v>118</v>
      </c>
      <c r="E31" s="74">
        <f t="shared" ca="1" si="2"/>
        <v>0.92372881355932202</v>
      </c>
      <c r="F31">
        <f t="shared" ca="1" si="3"/>
        <v>0.13720930232558132</v>
      </c>
      <c r="G31" s="76">
        <f t="shared" ca="1" si="4"/>
        <v>4.083348837209301E-2</v>
      </c>
      <c r="H31" s="76">
        <f ca="1">SUM($G$4:G31)</f>
        <v>0.30491802325581385</v>
      </c>
      <c r="I31" s="76">
        <f t="shared" ca="1" si="5"/>
        <v>3.1395348837208875E-2</v>
      </c>
      <c r="J31" s="76">
        <f t="shared" ca="1" si="6"/>
        <v>5.1367788883585099</v>
      </c>
    </row>
    <row r="32" spans="2:27" x14ac:dyDescent="0.2">
      <c r="B32" s="66">
        <f ca="1"/>
        <v>3.2976000000000001</v>
      </c>
      <c r="C32" s="46">
        <f t="shared" ca="1" si="0"/>
        <v>1</v>
      </c>
      <c r="D32" s="46">
        <f t="shared" ca="1" si="1"/>
        <v>119</v>
      </c>
      <c r="E32" s="74">
        <f t="shared" ca="1" si="2"/>
        <v>0.99159663865546221</v>
      </c>
      <c r="F32">
        <f t="shared" ca="1" si="3"/>
        <v>0.13837209302325568</v>
      </c>
      <c r="G32" s="76">
        <f t="shared" ca="1" si="4"/>
        <v>4.0681395348836991E-3</v>
      </c>
      <c r="H32" s="76">
        <f ca="1">SUM($G$4:G32)</f>
        <v>0.30898616279069757</v>
      </c>
      <c r="I32" s="76">
        <f t="shared" ca="1" si="5"/>
        <v>3.8344186046509682E-3</v>
      </c>
      <c r="J32" s="76">
        <f t="shared" ca="1" si="6"/>
        <v>0.55552281398416836</v>
      </c>
    </row>
    <row r="33" spans="2:10" x14ac:dyDescent="0.2">
      <c r="B33" s="66">
        <f ca="1"/>
        <v>3.327</v>
      </c>
      <c r="C33" s="46">
        <f t="shared" ca="1" si="0"/>
        <v>1</v>
      </c>
      <c r="D33" s="46">
        <f t="shared" ca="1" si="1"/>
        <v>120</v>
      </c>
      <c r="E33" s="74">
        <f t="shared" ca="1" si="2"/>
        <v>0.9916666666666667</v>
      </c>
      <c r="F33">
        <f t="shared" ca="1" si="3"/>
        <v>0.13953488372093048</v>
      </c>
      <c r="G33" s="76">
        <f t="shared" ca="1" si="4"/>
        <v>4.6046511627906945E-3</v>
      </c>
      <c r="H33" s="76">
        <f ca="1">SUM($G$4:G33)</f>
        <v>0.31359081395348826</v>
      </c>
      <c r="I33" s="76">
        <f t="shared" ca="1" si="5"/>
        <v>3.8686046511640718E-3</v>
      </c>
      <c r="J33" s="76">
        <f t="shared" ca="1" si="6"/>
        <v>0.55402937710417455</v>
      </c>
    </row>
    <row r="34" spans="2:10" x14ac:dyDescent="0.2">
      <c r="B34" s="66">
        <f ca="1"/>
        <v>3.36</v>
      </c>
      <c r="C34" s="46">
        <f t="shared" ca="1" si="0"/>
        <v>1</v>
      </c>
      <c r="D34" s="46">
        <f t="shared" ca="1" si="1"/>
        <v>121</v>
      </c>
      <c r="E34" s="74">
        <f t="shared" ca="1" si="2"/>
        <v>0.99173553719008267</v>
      </c>
      <c r="F34">
        <f t="shared" ca="1" si="3"/>
        <v>0.14069767441860481</v>
      </c>
      <c r="G34" s="76">
        <f t="shared" ca="1" si="4"/>
        <v>5.6279069767441979E-3</v>
      </c>
      <c r="H34" s="76">
        <f ca="1">SUM($G$4:G34)</f>
        <v>0.31921872093023246</v>
      </c>
      <c r="I34" s="76">
        <f t="shared" ca="1" si="5"/>
        <v>3.9069767441857551E-3</v>
      </c>
      <c r="J34" s="76">
        <f t="shared" ca="1" si="6"/>
        <v>0.55235546482028297</v>
      </c>
    </row>
    <row r="35" spans="2:10" x14ac:dyDescent="0.2">
      <c r="B35" s="66">
        <f ca="1"/>
        <v>3.4</v>
      </c>
      <c r="C35" s="46">
        <f t="shared" ca="1" si="0"/>
        <v>4</v>
      </c>
      <c r="D35" s="46">
        <f t="shared" ca="1" si="1"/>
        <v>125</v>
      </c>
      <c r="E35" s="74">
        <f t="shared" ca="1" si="2"/>
        <v>0.96799999999999997</v>
      </c>
      <c r="F35">
        <f t="shared" ca="1" si="3"/>
        <v>0.14534883720930233</v>
      </c>
      <c r="G35" s="76">
        <f t="shared" ca="1" si="4"/>
        <v>5.8139534883720981E-3</v>
      </c>
      <c r="H35" s="76">
        <f ca="1">SUM($G$4:G35)</f>
        <v>0.32503267441860456</v>
      </c>
      <c r="I35" s="76">
        <f t="shared" ca="1" si="5"/>
        <v>1.5813953488371574E-2</v>
      </c>
      <c r="J35" s="76">
        <f t="shared" ca="1" si="6"/>
        <v>2.201319502331522</v>
      </c>
    </row>
    <row r="36" spans="2:10" x14ac:dyDescent="0.2">
      <c r="B36" s="66">
        <f ca="1"/>
        <v>3.44</v>
      </c>
      <c r="C36" s="46">
        <f t="shared" ca="1" si="0"/>
        <v>1</v>
      </c>
      <c r="D36" s="46">
        <f t="shared" ca="1" si="1"/>
        <v>126</v>
      </c>
      <c r="E36" s="74">
        <f t="shared" ca="1" si="2"/>
        <v>0.99206349206349209</v>
      </c>
      <c r="F36">
        <f t="shared" ca="1" si="3"/>
        <v>0.14651162790697664</v>
      </c>
      <c r="G36" s="76">
        <f t="shared" ca="1" si="4"/>
        <v>8.7906976744186061E-3</v>
      </c>
      <c r="H36" s="76">
        <f ca="1">SUM($G$4:G36)</f>
        <v>0.33382337209302315</v>
      </c>
      <c r="I36" s="76">
        <f t="shared" ca="1" si="5"/>
        <v>3.9999999999996063E-3</v>
      </c>
      <c r="J36" s="76">
        <f t="shared" ca="1" si="6"/>
        <v>0.54830800727565132</v>
      </c>
    </row>
    <row r="37" spans="2:10" x14ac:dyDescent="0.2">
      <c r="B37" s="66">
        <f ca="1"/>
        <v>3.5</v>
      </c>
      <c r="C37" s="46">
        <f t="shared" ca="1" si="0"/>
        <v>1</v>
      </c>
      <c r="D37" s="46">
        <f t="shared" ca="1" si="1"/>
        <v>127</v>
      </c>
      <c r="E37" s="74">
        <f t="shared" ca="1" si="2"/>
        <v>0.99212598425196852</v>
      </c>
      <c r="F37">
        <f t="shared" ca="1" si="3"/>
        <v>0.14767441860465111</v>
      </c>
      <c r="G37" s="76">
        <f t="shared" ca="1" si="4"/>
        <v>6.261395348837173E-3</v>
      </c>
      <c r="H37" s="76">
        <f ca="1">SUM($G$4:G37)</f>
        <v>0.34008476744186034</v>
      </c>
      <c r="I37" s="76">
        <f t="shared" ca="1" si="5"/>
        <v>4.0697674418606472E-3</v>
      </c>
      <c r="J37" s="76">
        <f t="shared" ca="1" si="6"/>
        <v>0.54528218155912622</v>
      </c>
    </row>
    <row r="38" spans="2:10" x14ac:dyDescent="0.2">
      <c r="B38" s="66">
        <f ca="1"/>
        <v>3.5423999999999998</v>
      </c>
      <c r="C38" s="46">
        <f t="shared" ca="1" si="0"/>
        <v>1</v>
      </c>
      <c r="D38" s="46">
        <f t="shared" ca="1" si="1"/>
        <v>128</v>
      </c>
      <c r="E38" s="74">
        <f t="shared" ca="1" si="2"/>
        <v>0.9921875</v>
      </c>
      <c r="F38">
        <f t="shared" ca="1" si="3"/>
        <v>0.1488372093023255</v>
      </c>
      <c r="G38" s="76">
        <f t="shared" ca="1" si="4"/>
        <v>8.5730232558139299E-3</v>
      </c>
      <c r="H38" s="76">
        <f ca="1">SUM($G$4:G38)</f>
        <v>0.34865779069767427</v>
      </c>
      <c r="I38" s="76">
        <f t="shared" ca="1" si="5"/>
        <v>4.1190697674417494E-3</v>
      </c>
      <c r="J38" s="76">
        <f t="shared" ca="1" si="6"/>
        <v>0.54314897994416023</v>
      </c>
    </row>
    <row r="39" spans="2:10" x14ac:dyDescent="0.2">
      <c r="B39" s="66">
        <f ca="1"/>
        <v>3.5999999999999996</v>
      </c>
      <c r="C39" s="46">
        <f t="shared" ca="1" si="0"/>
        <v>7</v>
      </c>
      <c r="D39" s="46">
        <f t="shared" ca="1" si="1"/>
        <v>135</v>
      </c>
      <c r="E39" s="74">
        <f t="shared" ca="1" si="2"/>
        <v>0.94814814814814818</v>
      </c>
      <c r="F39">
        <f t="shared" ca="1" si="3"/>
        <v>0.15697674418604671</v>
      </c>
      <c r="G39" s="76">
        <f t="shared" ca="1" si="4"/>
        <v>6.9711678290416893E-17</v>
      </c>
      <c r="H39" s="76">
        <f ca="1">SUM($G$4:G39)</f>
        <v>0.34865779069767433</v>
      </c>
      <c r="I39" s="76">
        <f t="shared" ca="1" si="5"/>
        <v>2.9302325581396359E-2</v>
      </c>
      <c r="J39" s="76">
        <f t="shared" ca="1" si="6"/>
        <v>3.7818042034449411</v>
      </c>
    </row>
    <row r="40" spans="2:10" x14ac:dyDescent="0.2">
      <c r="B40" s="66">
        <f ca="1"/>
        <v>3.6</v>
      </c>
      <c r="C40" s="46">
        <f t="shared" ca="1" si="0"/>
        <v>7</v>
      </c>
      <c r="D40" s="46">
        <f t="shared" ca="1" si="1"/>
        <v>142</v>
      </c>
      <c r="E40" s="74">
        <f t="shared" ca="1" si="2"/>
        <v>0.95070422535211263</v>
      </c>
      <c r="F40">
        <f t="shared" ca="1" si="3"/>
        <v>0.16511627906976731</v>
      </c>
      <c r="G40" s="76">
        <f t="shared" ca="1" si="4"/>
        <v>1.6511627906976379E-3</v>
      </c>
      <c r="H40" s="76">
        <f ca="1">SUM($G$4:G40)</f>
        <v>0.35030895348837199</v>
      </c>
      <c r="I40" s="76">
        <f t="shared" ca="1" si="5"/>
        <v>2.9302325581394163E-2</v>
      </c>
      <c r="J40" s="76">
        <f t="shared" ca="1" si="6"/>
        <v>3.7818042034446573</v>
      </c>
    </row>
    <row r="41" spans="2:10" x14ac:dyDescent="0.2">
      <c r="B41" s="66">
        <f ca="1"/>
        <v>3.61</v>
      </c>
      <c r="C41" s="46">
        <f t="shared" ca="1" si="0"/>
        <v>1</v>
      </c>
      <c r="D41" s="46">
        <f t="shared" ca="1" si="1"/>
        <v>143</v>
      </c>
      <c r="E41" s="74">
        <f t="shared" ca="1" si="2"/>
        <v>0.99300699300699302</v>
      </c>
      <c r="F41">
        <f t="shared" ca="1" si="3"/>
        <v>0.16627906976744178</v>
      </c>
      <c r="G41" s="76">
        <f t="shared" ca="1" si="4"/>
        <v>1.4965116279069809E-2</v>
      </c>
      <c r="H41" s="76">
        <f ca="1">SUM($G$4:G41)</f>
        <v>0.36527406976744181</v>
      </c>
      <c r="I41" s="76">
        <f t="shared" ca="1" si="5"/>
        <v>4.1976744186048385E-3</v>
      </c>
      <c r="J41" s="76">
        <f t="shared" ca="1" si="6"/>
        <v>0.53975657859806603</v>
      </c>
    </row>
    <row r="42" spans="2:10" x14ac:dyDescent="0.2">
      <c r="B42" s="66">
        <f ca="1"/>
        <v>3.7</v>
      </c>
      <c r="C42" s="46">
        <f t="shared" ca="1" si="0"/>
        <v>4</v>
      </c>
      <c r="D42" s="46">
        <f t="shared" ca="1" si="1"/>
        <v>147</v>
      </c>
      <c r="E42" s="74">
        <f t="shared" ca="1" si="2"/>
        <v>0.97278911564625847</v>
      </c>
      <c r="F42">
        <f t="shared" ca="1" si="3"/>
        <v>0.17093023255813936</v>
      </c>
      <c r="G42" s="76">
        <f t="shared" ca="1" si="4"/>
        <v>7.5209302325580625E-3</v>
      </c>
      <c r="H42" s="76">
        <f ca="1">SUM($G$4:G42)</f>
        <v>0.37279499999999988</v>
      </c>
      <c r="I42" s="76">
        <f t="shared" ca="1" si="5"/>
        <v>1.7209302325581037E-2</v>
      </c>
      <c r="J42" s="76">
        <f t="shared" ca="1" si="6"/>
        <v>2.1410262438134318</v>
      </c>
    </row>
    <row r="43" spans="2:10" x14ac:dyDescent="0.2">
      <c r="B43" s="66">
        <f ca="1"/>
        <v>3.7439999999999998</v>
      </c>
      <c r="C43" s="46">
        <f t="shared" ca="1" si="0"/>
        <v>1</v>
      </c>
      <c r="D43" s="46">
        <f t="shared" ca="1" si="1"/>
        <v>148</v>
      </c>
      <c r="E43" s="74">
        <f t="shared" ca="1" si="2"/>
        <v>0.9932432432432432</v>
      </c>
      <c r="F43">
        <f t="shared" ca="1" si="3"/>
        <v>0.17209302325581394</v>
      </c>
      <c r="G43" s="76">
        <f t="shared" ca="1" si="4"/>
        <v>4.9562790697675069E-3</v>
      </c>
      <c r="H43" s="76">
        <f ca="1">SUM($G$4:G43)</f>
        <v>0.37775127906976741</v>
      </c>
      <c r="I43" s="76">
        <f t="shared" ca="1" si="5"/>
        <v>4.3534883720936337E-3</v>
      </c>
      <c r="J43" s="76">
        <f t="shared" ca="1" si="6"/>
        <v>0.53306340814111275</v>
      </c>
    </row>
    <row r="44" spans="2:10" x14ac:dyDescent="0.2">
      <c r="B44" s="66">
        <f ca="1"/>
        <v>3.7728000000000002</v>
      </c>
      <c r="C44" s="46">
        <f t="shared" ca="1" si="0"/>
        <v>1</v>
      </c>
      <c r="D44" s="46">
        <f t="shared" ca="1" si="1"/>
        <v>149</v>
      </c>
      <c r="E44" s="74">
        <f t="shared" ca="1" si="2"/>
        <v>0.99328859060402686</v>
      </c>
      <c r="F44">
        <f t="shared" ca="1" si="3"/>
        <v>0.17325581395348832</v>
      </c>
      <c r="G44" s="76">
        <f t="shared" ca="1" si="4"/>
        <v>1.9959069767441811E-2</v>
      </c>
      <c r="H44" s="76">
        <f ca="1">SUM($G$4:G44)</f>
        <v>0.39771034883720924</v>
      </c>
      <c r="I44" s="76">
        <f t="shared" ca="1" si="5"/>
        <v>4.3869767441859289E-3</v>
      </c>
      <c r="J44" s="76">
        <f t="shared" ca="1" si="6"/>
        <v>0.53163032789007725</v>
      </c>
    </row>
    <row r="45" spans="2:10" x14ac:dyDescent="0.2">
      <c r="B45" s="66">
        <f ca="1"/>
        <v>3.8879999999999999</v>
      </c>
      <c r="C45" s="46">
        <f t="shared" ca="1" si="0"/>
        <v>1</v>
      </c>
      <c r="D45" s="46">
        <f t="shared" ca="1" si="1"/>
        <v>150</v>
      </c>
      <c r="E45" s="74">
        <f t="shared" ca="1" si="2"/>
        <v>0.99333333333333329</v>
      </c>
      <c r="F45">
        <f t="shared" ca="1" si="3"/>
        <v>0.17441860465116257</v>
      </c>
      <c r="G45" s="76">
        <f t="shared" ca="1" si="4"/>
        <v>2.0930232558139528E-3</v>
      </c>
      <c r="H45" s="76">
        <f ca="1">SUM($G$4:G45)</f>
        <v>0.39980337209302319</v>
      </c>
      <c r="I45" s="76">
        <f t="shared" ca="1" si="5"/>
        <v>4.5209302325574787E-3</v>
      </c>
      <c r="J45" s="76">
        <f t="shared" ca="1" si="6"/>
        <v>0.52591729618855454</v>
      </c>
    </row>
    <row r="46" spans="2:10" x14ac:dyDescent="0.2">
      <c r="B46" s="66">
        <f ca="1"/>
        <v>3.9</v>
      </c>
      <c r="C46" s="46">
        <f t="shared" ca="1" si="0"/>
        <v>1</v>
      </c>
      <c r="D46" s="46">
        <f t="shared" ca="1" si="1"/>
        <v>151</v>
      </c>
      <c r="E46" s="74">
        <f t="shared" ca="1" si="2"/>
        <v>0.99337748344370858</v>
      </c>
      <c r="F46">
        <f t="shared" ca="1" si="3"/>
        <v>0.1755813953488371</v>
      </c>
      <c r="G46" s="76">
        <f t="shared" ca="1" si="4"/>
        <v>1.7558139534883725E-2</v>
      </c>
      <c r="H46" s="76">
        <f ca="1">SUM($G$4:G46)</f>
        <v>0.41736151162790691</v>
      </c>
      <c r="I46" s="76">
        <f t="shared" ca="1" si="5"/>
        <v>4.534883720930652E-3</v>
      </c>
      <c r="J46" s="76">
        <f t="shared" ca="1" si="6"/>
        <v>0.52532396360349887</v>
      </c>
    </row>
    <row r="47" spans="2:10" x14ac:dyDescent="0.2">
      <c r="B47" s="66">
        <f ca="1"/>
        <v>4</v>
      </c>
      <c r="C47" s="46">
        <f t="shared" ca="1" si="0"/>
        <v>15</v>
      </c>
      <c r="D47" s="46">
        <f t="shared" ca="1" si="1"/>
        <v>166</v>
      </c>
      <c r="E47" s="74">
        <f t="shared" ca="1" si="2"/>
        <v>0.90963855421686746</v>
      </c>
      <c r="F47">
        <f t="shared" ca="1" si="3"/>
        <v>0.19302325581395346</v>
      </c>
      <c r="G47" s="76">
        <f t="shared" ca="1" si="4"/>
        <v>6.1767441860465164E-3</v>
      </c>
      <c r="H47" s="76">
        <f ca="1">SUM($G$4:G47)</f>
        <v>0.42353825581395343</v>
      </c>
      <c r="I47" s="76">
        <f t="shared" ca="1" si="5"/>
        <v>6.9767441860465462E-2</v>
      </c>
      <c r="J47" s="76">
        <f t="shared" ca="1" si="6"/>
        <v>7.8058882297413525</v>
      </c>
    </row>
    <row r="48" spans="2:10" x14ac:dyDescent="0.2">
      <c r="B48" s="66">
        <f ca="1"/>
        <v>4.032</v>
      </c>
      <c r="C48" s="46">
        <f t="shared" ca="1" si="0"/>
        <v>1</v>
      </c>
      <c r="D48" s="46">
        <f t="shared" ca="1" si="1"/>
        <v>167</v>
      </c>
      <c r="E48" s="74">
        <f t="shared" ca="1" si="2"/>
        <v>0.99401197604790414</v>
      </c>
      <c r="F48">
        <f t="shared" ca="1" si="3"/>
        <v>0.19418604651162791</v>
      </c>
      <c r="G48" s="76">
        <f t="shared" ca="1" si="4"/>
        <v>2.7962790697674444E-2</v>
      </c>
      <c r="H48" s="76">
        <f ca="1">SUM($G$4:G48)</f>
        <v>0.45150104651162787</v>
      </c>
      <c r="I48" s="76">
        <f t="shared" ca="1" si="5"/>
        <v>4.6883720930233535E-3</v>
      </c>
      <c r="J48" s="76">
        <f t="shared" ca="1" si="6"/>
        <v>0.51881940749204947</v>
      </c>
    </row>
    <row r="49" spans="2:10" x14ac:dyDescent="0.2">
      <c r="B49" s="66">
        <f ca="1"/>
        <v>4.1760000000000002</v>
      </c>
      <c r="C49" s="46">
        <f t="shared" ca="1" si="0"/>
        <v>2</v>
      </c>
      <c r="D49" s="46">
        <f t="shared" ca="1" si="1"/>
        <v>169</v>
      </c>
      <c r="E49" s="74">
        <f t="shared" ca="1" si="2"/>
        <v>0.98816568047337283</v>
      </c>
      <c r="F49">
        <f t="shared" ca="1" si="3"/>
        <v>0.19651162790697677</v>
      </c>
      <c r="G49" s="76">
        <f t="shared" ca="1" si="4"/>
        <v>4.7162790697674465E-3</v>
      </c>
      <c r="H49" s="76">
        <f ca="1">SUM($G$4:G49)</f>
        <v>0.45621732558139533</v>
      </c>
      <c r="I49" s="76">
        <f t="shared" ca="1" si="5"/>
        <v>9.7116279069768309E-3</v>
      </c>
      <c r="J49" s="76">
        <f t="shared" ca="1" si="6"/>
        <v>1.0235394841025285</v>
      </c>
    </row>
    <row r="50" spans="2:10" x14ac:dyDescent="0.2">
      <c r="B50" s="66">
        <f ca="1"/>
        <v>4.2</v>
      </c>
      <c r="C50" s="46">
        <f t="shared" ca="1" si="0"/>
        <v>2</v>
      </c>
      <c r="D50" s="46">
        <f t="shared" ca="1" si="1"/>
        <v>171</v>
      </c>
      <c r="E50" s="74">
        <f t="shared" ca="1" si="2"/>
        <v>0.98830409356725146</v>
      </c>
      <c r="F50">
        <f t="shared" ca="1" si="3"/>
        <v>0.1988372093023256</v>
      </c>
      <c r="G50" s="76">
        <f t="shared" ca="1" si="4"/>
        <v>1.9883720930232489E-2</v>
      </c>
      <c r="H50" s="76">
        <f ca="1">SUM($G$4:G50)</f>
        <v>0.47610104651162782</v>
      </c>
      <c r="I50" s="76">
        <f t="shared" ca="1" si="5"/>
        <v>9.767441860465088E-3</v>
      </c>
      <c r="J50" s="76">
        <f t="shared" ca="1" si="6"/>
        <v>1.021198972366443</v>
      </c>
    </row>
    <row r="51" spans="2:10" x14ac:dyDescent="0.2">
      <c r="B51" s="66">
        <f ca="1"/>
        <v>4.3</v>
      </c>
      <c r="C51" s="46">
        <f t="shared" ca="1" si="0"/>
        <v>1</v>
      </c>
      <c r="D51" s="46">
        <f t="shared" ca="1" si="1"/>
        <v>172</v>
      </c>
      <c r="E51" s="74">
        <f t="shared" ca="1" si="2"/>
        <v>0.9941860465116279</v>
      </c>
      <c r="F51">
        <f t="shared" ca="1" si="3"/>
        <v>0.19999999999999984</v>
      </c>
      <c r="G51" s="76">
        <f t="shared" ca="1" si="4"/>
        <v>2.0000000000000091E-2</v>
      </c>
      <c r="H51" s="76">
        <f ca="1">SUM($G$4:G51)</f>
        <v>0.4961010465116279</v>
      </c>
      <c r="I51" s="76">
        <f t="shared" ca="1" si="5"/>
        <v>4.9999999999992689E-3</v>
      </c>
      <c r="J51" s="76">
        <f t="shared" ca="1" si="6"/>
        <v>0.50573783867098032</v>
      </c>
    </row>
    <row r="52" spans="2:10" x14ac:dyDescent="0.2">
      <c r="B52" s="66">
        <f ca="1"/>
        <v>4.4000000000000004</v>
      </c>
      <c r="C52" s="46">
        <f t="shared" ca="1" si="0"/>
        <v>1</v>
      </c>
      <c r="D52" s="46">
        <f t="shared" ca="1" si="1"/>
        <v>173</v>
      </c>
      <c r="E52" s="74">
        <f t="shared" ca="1" si="2"/>
        <v>0.9942196531791907</v>
      </c>
      <c r="F52">
        <f t="shared" ca="1" si="3"/>
        <v>0.20116279069767451</v>
      </c>
      <c r="G52" s="76">
        <f t="shared" ca="1" si="4"/>
        <v>1.2874418604651001E-2</v>
      </c>
      <c r="H52" s="76">
        <f ca="1">SUM($G$4:G52)</f>
        <v>0.50897546511627889</v>
      </c>
      <c r="I52" s="76">
        <f t="shared" ca="1" si="5"/>
        <v>5.1162790697685256E-3</v>
      </c>
      <c r="J52" s="76">
        <f t="shared" ca="1" si="6"/>
        <v>0.50089944697294519</v>
      </c>
    </row>
    <row r="53" spans="2:10" x14ac:dyDescent="0.2">
      <c r="B53" s="66">
        <f ca="1"/>
        <v>4.4639999999999995</v>
      </c>
      <c r="C53" s="46">
        <f t="shared" ca="1" si="0"/>
        <v>2</v>
      </c>
      <c r="D53" s="46">
        <f t="shared" ca="1" si="1"/>
        <v>175</v>
      </c>
      <c r="E53" s="74">
        <f t="shared" ca="1" si="2"/>
        <v>0.98857142857142855</v>
      </c>
      <c r="F53">
        <f t="shared" ca="1" si="3"/>
        <v>0.20348837209302337</v>
      </c>
      <c r="G53" s="76">
        <f t="shared" ca="1" si="4"/>
        <v>7.3255813953489379E-3</v>
      </c>
      <c r="H53" s="76">
        <f ca="1">SUM($G$4:G53)</f>
        <v>0.51630104651162778</v>
      </c>
      <c r="I53" s="76">
        <f t="shared" ca="1" si="5"/>
        <v>1.0381395348837301E-2</v>
      </c>
      <c r="J53" s="76">
        <f t="shared" ca="1" si="6"/>
        <v>0.9956301618742972</v>
      </c>
    </row>
    <row r="54" spans="2:10" x14ac:dyDescent="0.2">
      <c r="B54" s="66">
        <f ca="1"/>
        <v>4.5</v>
      </c>
      <c r="C54" s="46">
        <f t="shared" ca="1" si="0"/>
        <v>3</v>
      </c>
      <c r="D54" s="46">
        <f t="shared" ca="1" si="1"/>
        <v>178</v>
      </c>
      <c r="E54" s="74">
        <f t="shared" ca="1" si="2"/>
        <v>0.9831460674157303</v>
      </c>
      <c r="F54">
        <f t="shared" ca="1" si="3"/>
        <v>0.20697674418604664</v>
      </c>
      <c r="G54" s="76">
        <f t="shared" ca="1" si="4"/>
        <v>4.1395348837209363E-2</v>
      </c>
      <c r="H54" s="76">
        <f ca="1">SUM($G$4:G54)</f>
        <v>0.55769639534883719</v>
      </c>
      <c r="I54" s="76">
        <f t="shared" ca="1" si="5"/>
        <v>1.5697674418604729E-2</v>
      </c>
      <c r="J54" s="76">
        <f t="shared" ca="1" si="6"/>
        <v>1.488252933265739</v>
      </c>
    </row>
    <row r="55" spans="2:10" x14ac:dyDescent="0.2">
      <c r="B55" s="66">
        <f ca="1"/>
        <v>4.7</v>
      </c>
      <c r="C55" s="46">
        <f t="shared" ca="1" si="0"/>
        <v>3</v>
      </c>
      <c r="D55" s="46">
        <f t="shared" ca="1" si="1"/>
        <v>181</v>
      </c>
      <c r="E55" s="74">
        <f t="shared" ca="1" si="2"/>
        <v>0.98342541436464093</v>
      </c>
      <c r="F55">
        <f t="shared" ca="1" si="3"/>
        <v>0.21046511627906986</v>
      </c>
      <c r="G55" s="76">
        <f t="shared" ca="1" si="4"/>
        <v>1.0523255813953455E-2</v>
      </c>
      <c r="H55" s="76">
        <f ca="1">SUM($G$4:G55)</f>
        <v>0.56821965116279061</v>
      </c>
      <c r="I55" s="76">
        <f t="shared" ca="1" si="5"/>
        <v>1.6395348837209122E-2</v>
      </c>
      <c r="J55" s="76">
        <f t="shared" ca="1" si="6"/>
        <v>1.4595714202857266</v>
      </c>
    </row>
    <row r="56" spans="2:10" x14ac:dyDescent="0.2">
      <c r="B56" s="66">
        <f ca="1"/>
        <v>4.75</v>
      </c>
      <c r="C56" s="46">
        <f t="shared" ca="1" si="0"/>
        <v>1</v>
      </c>
      <c r="D56" s="46">
        <f t="shared" ca="1" si="1"/>
        <v>182</v>
      </c>
      <c r="E56" s="74">
        <f t="shared" ca="1" si="2"/>
        <v>0.99450549450549453</v>
      </c>
      <c r="F56">
        <f t="shared" ca="1" si="3"/>
        <v>0.2116279069767443</v>
      </c>
      <c r="G56" s="76">
        <f t="shared" ca="1" si="4"/>
        <v>4.2325581395344201E-4</v>
      </c>
      <c r="H56" s="76">
        <f ca="1">SUM($G$4:G56)</f>
        <v>0.56864290697674402</v>
      </c>
      <c r="I56" s="76">
        <f t="shared" ca="1" si="5"/>
        <v>5.5232558139536037E-3</v>
      </c>
      <c r="J56" s="76">
        <f t="shared" ca="1" si="6"/>
        <v>0.48414821556397947</v>
      </c>
    </row>
    <row r="57" spans="2:10" x14ac:dyDescent="0.2">
      <c r="B57" s="66">
        <f ca="1"/>
        <v>4.7519999999999998</v>
      </c>
      <c r="C57" s="46">
        <f t="shared" ca="1" si="0"/>
        <v>1</v>
      </c>
      <c r="D57" s="46">
        <f t="shared" ca="1" si="1"/>
        <v>183</v>
      </c>
      <c r="E57" s="74">
        <f t="shared" ca="1" si="2"/>
        <v>0.99453551912568305</v>
      </c>
      <c r="F57">
        <f t="shared" ca="1" si="3"/>
        <v>0.21279069767441861</v>
      </c>
      <c r="G57" s="76">
        <f t="shared" ca="1" si="4"/>
        <v>1.0213953488372103E-2</v>
      </c>
      <c r="H57" s="76">
        <f ca="1">SUM($G$4:G57)</f>
        <v>0.57885686046511609</v>
      </c>
      <c r="I57" s="76">
        <f t="shared" ca="1" si="5"/>
        <v>5.5255813953482931E-3</v>
      </c>
      <c r="J57" s="76">
        <f t="shared" ca="1" si="6"/>
        <v>0.48405331284623648</v>
      </c>
    </row>
    <row r="58" spans="2:10" x14ac:dyDescent="0.2">
      <c r="B58" s="66">
        <f ca="1"/>
        <v>4.8</v>
      </c>
      <c r="C58" s="46">
        <f t="shared" ca="1" si="0"/>
        <v>1</v>
      </c>
      <c r="D58" s="46">
        <f t="shared" ca="1" si="1"/>
        <v>184</v>
      </c>
      <c r="E58" s="74">
        <f t="shared" ca="1" si="2"/>
        <v>0.99456521739130432</v>
      </c>
      <c r="F58">
        <f t="shared" ca="1" si="3"/>
        <v>0.21395348837209291</v>
      </c>
      <c r="G58" s="76">
        <f t="shared" ca="1" si="4"/>
        <v>2.1395348837209404E-2</v>
      </c>
      <c r="H58" s="76">
        <f ca="1">SUM($G$4:G58)</f>
        <v>0.60025220930232548</v>
      </c>
      <c r="I58" s="76">
        <f t="shared" ca="1" si="5"/>
        <v>5.5813953488366595E-3</v>
      </c>
      <c r="J58" s="76">
        <f t="shared" ca="1" si="6"/>
        <v>0.48177843831946543</v>
      </c>
    </row>
    <row r="59" spans="2:10" x14ac:dyDescent="0.2">
      <c r="B59" s="66">
        <f ca="1"/>
        <v>4.9000000000000004</v>
      </c>
      <c r="C59" s="46">
        <f t="shared" ca="1" si="0"/>
        <v>1</v>
      </c>
      <c r="D59" s="46">
        <f t="shared" ca="1" si="1"/>
        <v>185</v>
      </c>
      <c r="E59" s="74">
        <f t="shared" ca="1" si="2"/>
        <v>0.99459459459459465</v>
      </c>
      <c r="F59">
        <f t="shared" ca="1" si="3"/>
        <v>0.21511627906976749</v>
      </c>
      <c r="G59" s="76">
        <f t="shared" ca="1" si="4"/>
        <v>2.1511627906976673E-2</v>
      </c>
      <c r="H59" s="76">
        <f ca="1">SUM($G$4:G59)</f>
        <v>0.62176383720930217</v>
      </c>
      <c r="I59" s="76">
        <f t="shared" ca="1" si="5"/>
        <v>5.6976744186054504E-3</v>
      </c>
      <c r="J59" s="76">
        <f t="shared" ca="1" si="6"/>
        <v>0.47705632569113204</v>
      </c>
    </row>
    <row r="60" spans="2:10" x14ac:dyDescent="0.2">
      <c r="B60" s="66">
        <f ca="1"/>
        <v>5</v>
      </c>
      <c r="C60" s="46">
        <f t="shared" ca="1" si="0"/>
        <v>10</v>
      </c>
      <c r="D60" s="46">
        <f t="shared" ca="1" si="1"/>
        <v>195</v>
      </c>
      <c r="E60" s="74">
        <f t="shared" ca="1" si="2"/>
        <v>0.94871794871794868</v>
      </c>
      <c r="F60">
        <f t="shared" ca="1" si="3"/>
        <v>0.22674418604651142</v>
      </c>
      <c r="G60" s="76">
        <f t="shared" ca="1" si="4"/>
        <v>2.267441860465106E-2</v>
      </c>
      <c r="H60" s="76">
        <f ca="1">SUM($G$4:G60)</f>
        <v>0.6444382558139532</v>
      </c>
      <c r="I60" s="76">
        <f t="shared" ca="1" si="5"/>
        <v>5.8139534883719646E-2</v>
      </c>
      <c r="J60" s="76">
        <f t="shared" ca="1" si="6"/>
        <v>4.7235746887656029</v>
      </c>
    </row>
    <row r="61" spans="2:10" x14ac:dyDescent="0.2">
      <c r="B61" s="66">
        <f ca="1"/>
        <v>5.0999999999999996</v>
      </c>
      <c r="C61" s="46">
        <f t="shared" ca="1" si="0"/>
        <v>2</v>
      </c>
      <c r="D61" s="46">
        <f t="shared" ca="1" si="1"/>
        <v>197</v>
      </c>
      <c r="E61" s="74">
        <f t="shared" ca="1" si="2"/>
        <v>0.98984771573604058</v>
      </c>
      <c r="F61">
        <f t="shared" ca="1" si="3"/>
        <v>0.22906976744186058</v>
      </c>
      <c r="G61" s="76">
        <f t="shared" ca="1" si="4"/>
        <v>1.9241860465116407E-2</v>
      </c>
      <c r="H61" s="76">
        <f ca="1">SUM($G$4:G61)</f>
        <v>0.66368011627906964</v>
      </c>
      <c r="I61" s="76">
        <f t="shared" ca="1" si="5"/>
        <v>1.1860465116280732E-2</v>
      </c>
      <c r="J61" s="76">
        <f t="shared" ca="1" si="6"/>
        <v>0.93536373575219089</v>
      </c>
    </row>
    <row r="62" spans="2:10" x14ac:dyDescent="0.2">
      <c r="B62" s="66">
        <f ca="1"/>
        <v>5.1840000000000002</v>
      </c>
      <c r="C62" s="46">
        <f t="shared" ca="1" si="0"/>
        <v>1</v>
      </c>
      <c r="D62" s="46">
        <f t="shared" ca="1" si="1"/>
        <v>198</v>
      </c>
      <c r="E62" s="74">
        <f t="shared" ca="1" si="2"/>
        <v>0.99494949494949492</v>
      </c>
      <c r="F62">
        <f t="shared" ca="1" si="3"/>
        <v>0.23023255813953505</v>
      </c>
      <c r="G62" s="76">
        <f t="shared" ca="1" si="4"/>
        <v>3.6837209302325643E-3</v>
      </c>
      <c r="H62" s="76">
        <f ca="1">SUM($G$4:G62)</f>
        <v>0.66736383720930226</v>
      </c>
      <c r="I62" s="76">
        <f t="shared" ca="1" si="5"/>
        <v>6.0279069767444557E-3</v>
      </c>
      <c r="J62" s="76">
        <f t="shared" ca="1" si="6"/>
        <v>0.46377233512861959</v>
      </c>
    </row>
    <row r="63" spans="2:10" x14ac:dyDescent="0.2">
      <c r="B63" s="66">
        <f ca="1"/>
        <v>5.2</v>
      </c>
      <c r="C63" s="46">
        <f t="shared" ca="1" si="0"/>
        <v>3</v>
      </c>
      <c r="D63" s="46">
        <f t="shared" ca="1" si="1"/>
        <v>201</v>
      </c>
      <c r="E63" s="74">
        <f t="shared" ca="1" si="2"/>
        <v>0.9850746268656716</v>
      </c>
      <c r="F63">
        <f t="shared" ca="1" si="3"/>
        <v>0.2337209302325586</v>
      </c>
      <c r="G63" s="76">
        <f t="shared" ca="1" si="4"/>
        <v>2.3372093023255776E-2</v>
      </c>
      <c r="H63" s="76">
        <f ca="1">SUM($G$4:G63)</f>
        <v>0.69073593023255808</v>
      </c>
      <c r="I63" s="76">
        <f t="shared" ca="1" si="5"/>
        <v>1.8139534883722466E-2</v>
      </c>
      <c r="J63" s="76">
        <f t="shared" ca="1" si="6"/>
        <v>1.3890885680684453</v>
      </c>
    </row>
    <row r="64" spans="2:10" x14ac:dyDescent="0.2">
      <c r="B64" s="66">
        <f ca="1"/>
        <v>5.3</v>
      </c>
      <c r="C64" s="46">
        <f t="shared" ca="1" si="0"/>
        <v>2</v>
      </c>
      <c r="D64" s="46">
        <f t="shared" ca="1" si="1"/>
        <v>203</v>
      </c>
      <c r="E64" s="74">
        <f t="shared" ca="1" si="2"/>
        <v>0.99014778325123154</v>
      </c>
      <c r="F64">
        <f t="shared" ca="1" si="3"/>
        <v>0.23604651162790713</v>
      </c>
      <c r="G64" s="76">
        <f t="shared" ca="1" si="4"/>
        <v>6.6093023255815106E-3</v>
      </c>
      <c r="H64" s="76">
        <f ca="1">SUM($G$4:G64)</f>
        <v>0.69734523255813963</v>
      </c>
      <c r="I64" s="76">
        <f t="shared" ca="1" si="5"/>
        <v>1.2325581395347182E-2</v>
      </c>
      <c r="J64" s="76">
        <f t="shared" ca="1" si="6"/>
        <v>0.91680086663349425</v>
      </c>
    </row>
    <row r="65" spans="2:10" x14ac:dyDescent="0.2">
      <c r="B65" s="66">
        <f ca="1"/>
        <v>5.3280000000000003</v>
      </c>
      <c r="C65" s="46">
        <f t="shared" ca="1" si="0"/>
        <v>1</v>
      </c>
      <c r="D65" s="46">
        <f t="shared" ca="1" si="1"/>
        <v>204</v>
      </c>
      <c r="E65" s="74">
        <f t="shared" ca="1" si="2"/>
        <v>0.99509803921568629</v>
      </c>
      <c r="F65">
        <f t="shared" ca="1" si="3"/>
        <v>0.23720930232558132</v>
      </c>
      <c r="G65" s="76">
        <f t="shared" ca="1" si="4"/>
        <v>4.079999999999992E-2</v>
      </c>
      <c r="H65" s="76">
        <f ca="1">SUM($G$4:G65)</f>
        <v>0.73814523255813957</v>
      </c>
      <c r="I65" s="76">
        <f t="shared" ca="1" si="5"/>
        <v>6.1953488372081013E-3</v>
      </c>
      <c r="J65" s="76">
        <f t="shared" ca="1" si="6"/>
        <v>0.45710845573424314</v>
      </c>
    </row>
    <row r="66" spans="2:10" x14ac:dyDescent="0.2">
      <c r="B66" s="66">
        <f ca="1"/>
        <v>5.5</v>
      </c>
      <c r="C66" s="46">
        <f t="shared" ca="1" si="0"/>
        <v>1</v>
      </c>
      <c r="D66" s="46">
        <f t="shared" ca="1" si="1"/>
        <v>205</v>
      </c>
      <c r="E66" s="74">
        <f t="shared" ca="1" si="2"/>
        <v>0.99512195121951219</v>
      </c>
      <c r="F66">
        <f t="shared" ca="1" si="3"/>
        <v>0.23837209302325596</v>
      </c>
      <c r="G66" s="76">
        <f t="shared" ca="1" si="4"/>
        <v>2.383720930232551E-2</v>
      </c>
      <c r="H66" s="76">
        <f ca="1">SUM($G$4:G66)</f>
        <v>0.76198244186046504</v>
      </c>
      <c r="I66" s="76">
        <f t="shared" ca="1" si="5"/>
        <v>6.3953488372105044E-3</v>
      </c>
      <c r="J66" s="76">
        <f t="shared" ca="1" si="6"/>
        <v>0.44921202201348592</v>
      </c>
    </row>
    <row r="67" spans="2:10" x14ac:dyDescent="0.2">
      <c r="B67" s="66">
        <f ca="1"/>
        <v>5.6</v>
      </c>
      <c r="C67" s="46">
        <f t="shared" ca="1" si="0"/>
        <v>2</v>
      </c>
      <c r="D67" s="46">
        <f t="shared" ca="1" si="1"/>
        <v>207</v>
      </c>
      <c r="E67" s="74">
        <f t="shared" ca="1" si="2"/>
        <v>0.99033816425120769</v>
      </c>
      <c r="F67">
        <f t="shared" ca="1" si="3"/>
        <v>0.24069767441860468</v>
      </c>
      <c r="G67" s="76">
        <f t="shared" ca="1" si="4"/>
        <v>2.4069767441862091E-3</v>
      </c>
      <c r="H67" s="76">
        <f ca="1">SUM($G$4:G67)</f>
        <v>0.76438941860465126</v>
      </c>
      <c r="I67" s="76">
        <f t="shared" ca="1" si="5"/>
        <v>1.3023255813952826E-2</v>
      </c>
      <c r="J67" s="76">
        <f t="shared" ca="1" si="6"/>
        <v>0.88930540016521098</v>
      </c>
    </row>
    <row r="68" spans="2:10" x14ac:dyDescent="0.2">
      <c r="B68" s="66">
        <f ca="1"/>
        <v>5.61</v>
      </c>
      <c r="C68" s="46">
        <f t="shared" ref="C68:C131" ca="1" si="12">COUNTIF(RAW_DATA,B68)</f>
        <v>1</v>
      </c>
      <c r="D68" s="46">
        <f t="shared" ca="1" si="1"/>
        <v>208</v>
      </c>
      <c r="E68" s="74">
        <f t="shared" ca="1" si="2"/>
        <v>0.99519230769230771</v>
      </c>
      <c r="F68">
        <f t="shared" ca="1" si="3"/>
        <v>0.24186046511627929</v>
      </c>
      <c r="G68" s="76">
        <f t="shared" ca="1" si="4"/>
        <v>1.4511627906975159E-3</v>
      </c>
      <c r="H68" s="76">
        <f ca="1">SUM($G$4:G68)</f>
        <v>0.76584058139534883</v>
      </c>
      <c r="I68" s="76">
        <f t="shared" ca="1" si="5"/>
        <v>6.5232558139545595E-3</v>
      </c>
      <c r="J68" s="76">
        <f t="shared" ca="1" si="6"/>
        <v>0.44419804695939114</v>
      </c>
    </row>
    <row r="69" spans="2:10" x14ac:dyDescent="0.2">
      <c r="B69" s="66">
        <f ca="1"/>
        <v>5.6159999999999997</v>
      </c>
      <c r="C69" s="46">
        <f t="shared" ca="1" si="12"/>
        <v>2</v>
      </c>
      <c r="D69" s="46">
        <f t="shared" ref="D69:D132" ca="1" si="13">COUNTIF(ALL_DATA,B69)+D68</f>
        <v>210</v>
      </c>
      <c r="E69" s="74">
        <f t="shared" ref="E69:E132" ca="1" si="14">1-C69/D69</f>
        <v>0.99047619047619051</v>
      </c>
      <c r="F69">
        <f t="shared" ref="F69:F132" ca="1" si="15">PRODUCT(E70:E920)</f>
        <v>0.24418604651162798</v>
      </c>
      <c r="G69" s="76">
        <f t="shared" ref="G69:G132" ca="1" si="16">(B70-B69)*F69</f>
        <v>2.0511627906976877E-2</v>
      </c>
      <c r="H69" s="76">
        <f ca="1">SUM($G$4:G69)</f>
        <v>0.78635220930232574</v>
      </c>
      <c r="I69" s="76">
        <f t="shared" ca="1" si="5"/>
        <v>1.3060465116278251E-2</v>
      </c>
      <c r="J69" s="76">
        <f t="shared" ca="1" si="6"/>
        <v>0.88785073342642296</v>
      </c>
    </row>
    <row r="70" spans="2:10" x14ac:dyDescent="0.2">
      <c r="B70" s="66">
        <f ca="1"/>
        <v>5.7</v>
      </c>
      <c r="C70" s="46">
        <f t="shared" ca="1" si="12"/>
        <v>1</v>
      </c>
      <c r="D70" s="46">
        <f t="shared" ca="1" si="13"/>
        <v>211</v>
      </c>
      <c r="E70" s="74">
        <f t="shared" ca="1" si="14"/>
        <v>0.99526066350710896</v>
      </c>
      <c r="F70">
        <f t="shared" ca="1" si="15"/>
        <v>0.24534883720930262</v>
      </c>
      <c r="G70" s="76">
        <f t="shared" ca="1" si="16"/>
        <v>5.8883720930226144E-4</v>
      </c>
      <c r="H70" s="76">
        <f ca="1">SUM($G$4:G70)</f>
        <v>0.786941046511628</v>
      </c>
      <c r="I70" s="76">
        <f t="shared" ref="I70:I133" ca="1" si="17">B70*(F70-F69)</f>
        <v>6.6279069767454322E-3</v>
      </c>
      <c r="J70" s="76">
        <f t="shared" ref="J70:J133" ca="1" si="18">POWER(B70-$M$3,2)*(F70-F69)</f>
        <v>0.44011663396589101</v>
      </c>
    </row>
    <row r="71" spans="2:10" x14ac:dyDescent="0.2">
      <c r="B71" s="66">
        <f ca="1"/>
        <v>5.7023999999999999</v>
      </c>
      <c r="C71" s="46">
        <f t="shared" ca="1" si="12"/>
        <v>1</v>
      </c>
      <c r="D71" s="46">
        <f t="shared" ca="1" si="13"/>
        <v>212</v>
      </c>
      <c r="E71" s="74">
        <f t="shared" ca="1" si="14"/>
        <v>0.99528301886792447</v>
      </c>
      <c r="F71">
        <f t="shared" ca="1" si="15"/>
        <v>0.24651162790697709</v>
      </c>
      <c r="G71" s="76">
        <f t="shared" ca="1" si="16"/>
        <v>6.8037209302326939E-3</v>
      </c>
      <c r="H71" s="76">
        <f ca="1">SUM($G$4:G71)</f>
        <v>0.79374476744186073</v>
      </c>
      <c r="I71" s="76">
        <f t="shared" ca="1" si="17"/>
        <v>6.6306976744189014E-3</v>
      </c>
      <c r="J71" s="76">
        <f t="shared" ca="1" si="18"/>
        <v>0.44000805414646604</v>
      </c>
    </row>
    <row r="72" spans="2:10" x14ac:dyDescent="0.2">
      <c r="B72" s="66">
        <f ca="1"/>
        <v>5.73</v>
      </c>
      <c r="C72" s="46">
        <f t="shared" ca="1" si="12"/>
        <v>1</v>
      </c>
      <c r="D72" s="46">
        <f t="shared" ca="1" si="13"/>
        <v>213</v>
      </c>
      <c r="E72" s="74">
        <f t="shared" ca="1" si="14"/>
        <v>0.99530516431924887</v>
      </c>
      <c r="F72">
        <f t="shared" ca="1" si="15"/>
        <v>0.24767441860465114</v>
      </c>
      <c r="G72" s="76">
        <f t="shared" ca="1" si="16"/>
        <v>1.7337209302325431E-2</v>
      </c>
      <c r="H72" s="76">
        <f ca="1">SUM($G$4:G72)</f>
        <v>0.81108197674418614</v>
      </c>
      <c r="I72" s="76">
        <f t="shared" ca="1" si="17"/>
        <v>6.6627906976723314E-3</v>
      </c>
      <c r="J72" s="76">
        <f t="shared" ca="1" si="18"/>
        <v>0.43876034901434569</v>
      </c>
    </row>
    <row r="73" spans="2:10" x14ac:dyDescent="0.2">
      <c r="B73" s="66">
        <f ca="1"/>
        <v>5.8</v>
      </c>
      <c r="C73" s="46">
        <f t="shared" ca="1" si="12"/>
        <v>4</v>
      </c>
      <c r="D73" s="46">
        <f t="shared" ca="1" si="13"/>
        <v>217</v>
      </c>
      <c r="E73" s="74">
        <f t="shared" ca="1" si="14"/>
        <v>0.98156682027649766</v>
      </c>
      <c r="F73">
        <f t="shared" ca="1" si="15"/>
        <v>0.25232558139534889</v>
      </c>
      <c r="G73" s="76">
        <f t="shared" ca="1" si="16"/>
        <v>2.5232558139535025E-2</v>
      </c>
      <c r="H73" s="76">
        <f ca="1">SUM($G$4:G73)</f>
        <v>0.83631453488372121</v>
      </c>
      <c r="I73" s="76">
        <f t="shared" ca="1" si="17"/>
        <v>2.6976744186046914E-2</v>
      </c>
      <c r="J73" s="76">
        <f t="shared" ca="1" si="18"/>
        <v>1.742415294651793</v>
      </c>
    </row>
    <row r="74" spans="2:10" x14ac:dyDescent="0.2">
      <c r="B74" s="66">
        <f ca="1"/>
        <v>5.9</v>
      </c>
      <c r="C74" s="46">
        <f t="shared" ca="1" si="12"/>
        <v>3</v>
      </c>
      <c r="D74" s="46">
        <f t="shared" ca="1" si="13"/>
        <v>220</v>
      </c>
      <c r="E74" s="74">
        <f t="shared" ca="1" si="14"/>
        <v>0.98636363636363633</v>
      </c>
      <c r="F74">
        <f t="shared" ca="1" si="15"/>
        <v>0.25581395348837233</v>
      </c>
      <c r="G74" s="76">
        <f t="shared" ca="1" si="16"/>
        <v>2.0465116279069804E-2</v>
      </c>
      <c r="H74" s="76">
        <f ca="1">SUM($G$4:G74)</f>
        <v>0.85677965116279098</v>
      </c>
      <c r="I74" s="76">
        <f t="shared" ca="1" si="17"/>
        <v>2.0581395348838294E-2</v>
      </c>
      <c r="J74" s="76">
        <f t="shared" ca="1" si="18"/>
        <v>1.2933428075221549</v>
      </c>
    </row>
    <row r="75" spans="2:10" x14ac:dyDescent="0.2">
      <c r="B75" s="66">
        <f ca="1"/>
        <v>5.98</v>
      </c>
      <c r="C75" s="46">
        <f t="shared" ca="1" si="12"/>
        <v>1</v>
      </c>
      <c r="D75" s="46">
        <f t="shared" ca="1" si="13"/>
        <v>221</v>
      </c>
      <c r="E75" s="74">
        <f t="shared" ca="1" si="14"/>
        <v>0.99547511312217196</v>
      </c>
      <c r="F75">
        <f t="shared" ca="1" si="15"/>
        <v>0.25697674418604699</v>
      </c>
      <c r="G75" s="76">
        <f t="shared" ca="1" si="16"/>
        <v>5.1395348837208303E-3</v>
      </c>
      <c r="H75" s="76">
        <f ca="1">SUM($G$4:G75)</f>
        <v>0.86191918604651185</v>
      </c>
      <c r="I75" s="76">
        <f t="shared" ca="1" si="17"/>
        <v>6.9534883720944966E-3</v>
      </c>
      <c r="J75" s="76">
        <f t="shared" ca="1" si="18"/>
        <v>0.42753936976903562</v>
      </c>
    </row>
    <row r="76" spans="2:10" x14ac:dyDescent="0.2">
      <c r="B76" s="66">
        <f ca="1"/>
        <v>6</v>
      </c>
      <c r="C76" s="46">
        <f t="shared" ca="1" si="12"/>
        <v>9</v>
      </c>
      <c r="D76" s="46">
        <f t="shared" ca="1" si="13"/>
        <v>230</v>
      </c>
      <c r="E76" s="74">
        <f t="shared" ca="1" si="14"/>
        <v>0.96086956521739131</v>
      </c>
      <c r="F76">
        <f t="shared" ca="1" si="15"/>
        <v>0.26744186046511631</v>
      </c>
      <c r="G76" s="76">
        <f t="shared" ca="1" si="16"/>
        <v>1.2837209302325594E-2</v>
      </c>
      <c r="H76" s="76">
        <f ca="1">SUM($G$4:G76)</f>
        <v>0.87475639534883742</v>
      </c>
      <c r="I76" s="76">
        <f t="shared" ca="1" si="17"/>
        <v>6.2790697674415918E-2</v>
      </c>
      <c r="J76" s="76">
        <f t="shared" ca="1" si="18"/>
        <v>3.8398317344914608</v>
      </c>
    </row>
    <row r="77" spans="2:10" x14ac:dyDescent="0.2">
      <c r="B77" s="66">
        <f ca="1"/>
        <v>6.048</v>
      </c>
      <c r="C77" s="46">
        <f t="shared" ca="1" si="12"/>
        <v>2</v>
      </c>
      <c r="D77" s="46">
        <f t="shared" ca="1" si="13"/>
        <v>232</v>
      </c>
      <c r="E77" s="74">
        <f t="shared" ca="1" si="14"/>
        <v>0.99137931034482762</v>
      </c>
      <c r="F77">
        <f t="shared" ca="1" si="15"/>
        <v>0.26976744186046558</v>
      </c>
      <c r="G77" s="76">
        <f t="shared" ca="1" si="16"/>
        <v>1.4027906976744104E-2</v>
      </c>
      <c r="H77" s="76">
        <f ca="1">SUM($G$4:G77)</f>
        <v>0.88878430232558148</v>
      </c>
      <c r="I77" s="76">
        <f t="shared" ca="1" si="17"/>
        <v>1.4065116279072412E-2</v>
      </c>
      <c r="J77" s="76">
        <f t="shared" ca="1" si="18"/>
        <v>0.84902481520056983</v>
      </c>
    </row>
    <row r="78" spans="2:10" x14ac:dyDescent="0.2">
      <c r="B78" s="66">
        <f ca="1"/>
        <v>6.1</v>
      </c>
      <c r="C78" s="46">
        <f t="shared" ca="1" si="12"/>
        <v>2</v>
      </c>
      <c r="D78" s="46">
        <f t="shared" ca="1" si="13"/>
        <v>234</v>
      </c>
      <c r="E78" s="74">
        <f t="shared" ca="1" si="14"/>
        <v>0.99145299145299148</v>
      </c>
      <c r="F78">
        <f t="shared" ca="1" si="15"/>
        <v>0.27209302325581419</v>
      </c>
      <c r="G78" s="76">
        <f t="shared" ca="1" si="16"/>
        <v>1.6325581395348988E-2</v>
      </c>
      <c r="H78" s="76">
        <f ca="1">SUM($G$4:G78)</f>
        <v>0.90510988372093049</v>
      </c>
      <c r="I78" s="76">
        <f t="shared" ca="1" si="17"/>
        <v>1.4186046511626509E-2</v>
      </c>
      <c r="J78" s="76">
        <f t="shared" ca="1" si="18"/>
        <v>0.84440985527604373</v>
      </c>
    </row>
    <row r="79" spans="2:10" x14ac:dyDescent="0.2">
      <c r="B79" s="66">
        <f ca="1"/>
        <v>6.16</v>
      </c>
      <c r="C79" s="46">
        <f t="shared" ca="1" si="12"/>
        <v>1</v>
      </c>
      <c r="D79" s="46">
        <f t="shared" ca="1" si="13"/>
        <v>235</v>
      </c>
      <c r="E79" s="74">
        <f t="shared" ca="1" si="14"/>
        <v>0.99574468085106382</v>
      </c>
      <c r="F79">
        <f t="shared" ca="1" si="15"/>
        <v>0.27325581395348864</v>
      </c>
      <c r="G79" s="76">
        <f t="shared" ca="1" si="16"/>
        <v>1.0930232558139555E-2</v>
      </c>
      <c r="H79" s="76">
        <f ca="1">SUM($G$4:G79)</f>
        <v>0.91604011627907</v>
      </c>
      <c r="I79" s="76">
        <f t="shared" ca="1" si="17"/>
        <v>7.1627906976745679E-3</v>
      </c>
      <c r="J79" s="76">
        <f t="shared" ca="1" si="18"/>
        <v>0.41955026471216633</v>
      </c>
    </row>
    <row r="80" spans="2:10" x14ac:dyDescent="0.2">
      <c r="B80" s="66">
        <f ca="1"/>
        <v>6.2</v>
      </c>
      <c r="C80" s="46">
        <f t="shared" ca="1" si="12"/>
        <v>5</v>
      </c>
      <c r="D80" s="46">
        <f t="shared" ca="1" si="13"/>
        <v>240</v>
      </c>
      <c r="E80" s="74">
        <f t="shared" ca="1" si="14"/>
        <v>0.97916666666666663</v>
      </c>
      <c r="F80">
        <f t="shared" ca="1" si="15"/>
        <v>0.27906976744186096</v>
      </c>
      <c r="G80" s="76">
        <f t="shared" ca="1" si="16"/>
        <v>2.7906976744185998E-2</v>
      </c>
      <c r="H80" s="76">
        <f ca="1">SUM($G$4:G80)</f>
        <v>0.94394709302325597</v>
      </c>
      <c r="I80" s="76">
        <f t="shared" ca="1" si="17"/>
        <v>3.6046511627908416E-2</v>
      </c>
      <c r="J80" s="76">
        <f t="shared" ca="1" si="18"/>
        <v>2.0889257029551387</v>
      </c>
    </row>
    <row r="81" spans="2:10" x14ac:dyDescent="0.2">
      <c r="B81" s="66">
        <f ca="1"/>
        <v>6.3</v>
      </c>
      <c r="C81" s="46">
        <f t="shared" ca="1" si="12"/>
        <v>2</v>
      </c>
      <c r="D81" s="46">
        <f t="shared" ca="1" si="13"/>
        <v>242</v>
      </c>
      <c r="E81" s="74">
        <f t="shared" ca="1" si="14"/>
        <v>0.99173553719008267</v>
      </c>
      <c r="F81">
        <f t="shared" ca="1" si="15"/>
        <v>0.28139534883720962</v>
      </c>
      <c r="G81" s="76">
        <f t="shared" ca="1" si="16"/>
        <v>2.8139534883721111E-2</v>
      </c>
      <c r="H81" s="76">
        <f ca="1">SUM($G$4:G81)</f>
        <v>0.97208662790697709</v>
      </c>
      <c r="I81" s="76">
        <f t="shared" ca="1" si="17"/>
        <v>1.4651162790696582E-2</v>
      </c>
      <c r="J81" s="76">
        <f t="shared" ca="1" si="18"/>
        <v>0.82677721871576237</v>
      </c>
    </row>
    <row r="82" spans="2:10" x14ac:dyDescent="0.2">
      <c r="B82" s="66">
        <f ca="1"/>
        <v>6.4</v>
      </c>
      <c r="C82" s="46">
        <f t="shared" ca="1" si="12"/>
        <v>1</v>
      </c>
      <c r="D82" s="46">
        <f t="shared" ca="1" si="13"/>
        <v>243</v>
      </c>
      <c r="E82" s="74">
        <f t="shared" ca="1" si="14"/>
        <v>0.99588477366255146</v>
      </c>
      <c r="F82">
        <f t="shared" ca="1" si="15"/>
        <v>0.28255813953488396</v>
      </c>
      <c r="G82" s="76">
        <f t="shared" ca="1" si="16"/>
        <v>2.2604651162790486E-2</v>
      </c>
      <c r="H82" s="76">
        <f ca="1">SUM($G$4:G82)</f>
        <v>0.99469127906976762</v>
      </c>
      <c r="I82" s="76">
        <f t="shared" ca="1" si="17"/>
        <v>7.4418604651157244E-3</v>
      </c>
      <c r="J82" s="76">
        <f t="shared" ca="1" si="18"/>
        <v>0.40901533393873618</v>
      </c>
    </row>
    <row r="83" spans="2:10" x14ac:dyDescent="0.2">
      <c r="B83" s="66">
        <f ca="1"/>
        <v>6.4799999999999995</v>
      </c>
      <c r="C83" s="46">
        <f t="shared" ca="1" si="12"/>
        <v>1</v>
      </c>
      <c r="D83" s="46">
        <f t="shared" ca="1" si="13"/>
        <v>244</v>
      </c>
      <c r="E83" s="74">
        <f t="shared" ca="1" si="14"/>
        <v>0.99590163934426235</v>
      </c>
      <c r="F83">
        <f t="shared" ca="1" si="15"/>
        <v>0.28372093023255818</v>
      </c>
      <c r="G83" s="76">
        <f t="shared" ca="1" si="16"/>
        <v>5.6744186046512948E-3</v>
      </c>
      <c r="H83" s="76">
        <f ca="1">SUM($G$4:G83)</f>
        <v>1.0003656976744189</v>
      </c>
      <c r="I83" s="76">
        <f t="shared" ca="1" si="17"/>
        <v>7.5348837209289503E-3</v>
      </c>
      <c r="J83" s="76">
        <f t="shared" ca="1" si="18"/>
        <v>0.40553345778942773</v>
      </c>
    </row>
    <row r="84" spans="2:10" x14ac:dyDescent="0.2">
      <c r="B84" s="66">
        <f ca="1"/>
        <v>6.5</v>
      </c>
      <c r="C84" s="46">
        <f t="shared" ca="1" si="12"/>
        <v>2</v>
      </c>
      <c r="D84" s="46">
        <f t="shared" ca="1" si="13"/>
        <v>246</v>
      </c>
      <c r="E84" s="74">
        <f t="shared" ca="1" si="14"/>
        <v>0.99186991869918695</v>
      </c>
      <c r="F84">
        <f t="shared" ca="1" si="15"/>
        <v>0.28604651162790712</v>
      </c>
      <c r="G84" s="76">
        <f t="shared" ca="1" si="16"/>
        <v>2.8604651162790609E-2</v>
      </c>
      <c r="H84" s="76">
        <f ca="1">SUM($G$4:G84)</f>
        <v>1.0289703488372095</v>
      </c>
      <c r="I84" s="76">
        <f t="shared" ca="1" si="17"/>
        <v>1.5116279069768118E-2</v>
      </c>
      <c r="J84" s="76">
        <f t="shared" ca="1" si="18"/>
        <v>0.8093306286671853</v>
      </c>
    </row>
    <row r="85" spans="2:10" x14ac:dyDescent="0.2">
      <c r="B85" s="66">
        <f ca="1"/>
        <v>6.6</v>
      </c>
      <c r="C85" s="46">
        <f t="shared" ca="1" si="12"/>
        <v>1</v>
      </c>
      <c r="D85" s="46">
        <f t="shared" ca="1" si="13"/>
        <v>247</v>
      </c>
      <c r="E85" s="74">
        <f t="shared" ca="1" si="14"/>
        <v>0.99595141700404854</v>
      </c>
      <c r="F85">
        <f t="shared" ca="1" si="15"/>
        <v>0.28720930232558167</v>
      </c>
      <c r="G85" s="76">
        <f t="shared" ca="1" si="16"/>
        <v>2.8720930232558322E-2</v>
      </c>
      <c r="H85" s="76">
        <f ca="1">SUM($G$4:G85)</f>
        <v>1.0576912790697679</v>
      </c>
      <c r="I85" s="76">
        <f t="shared" ca="1" si="17"/>
        <v>7.6744186046520555E-3</v>
      </c>
      <c r="J85" s="76">
        <f t="shared" ca="1" si="18"/>
        <v>0.4003385505423826</v>
      </c>
    </row>
    <row r="86" spans="2:10" x14ac:dyDescent="0.2">
      <c r="B86" s="66">
        <f ca="1"/>
        <v>6.7</v>
      </c>
      <c r="C86" s="46">
        <f t="shared" ca="1" si="12"/>
        <v>2</v>
      </c>
      <c r="D86" s="46">
        <f t="shared" ca="1" si="13"/>
        <v>249</v>
      </c>
      <c r="E86" s="74">
        <f t="shared" ca="1" si="14"/>
        <v>0.99196787148594379</v>
      </c>
      <c r="F86">
        <f t="shared" ca="1" si="15"/>
        <v>0.28953488372093072</v>
      </c>
      <c r="G86" s="76">
        <f t="shared" ca="1" si="16"/>
        <v>1.4476744186046485E-2</v>
      </c>
      <c r="H86" s="76">
        <f ca="1">SUM($G$4:G86)</f>
        <v>1.0721680232558144</v>
      </c>
      <c r="I86" s="76">
        <f t="shared" ca="1" si="17"/>
        <v>1.558139534883865E-2</v>
      </c>
      <c r="J86" s="76">
        <f t="shared" ca="1" si="18"/>
        <v>0.79207008513017541</v>
      </c>
    </row>
    <row r="87" spans="2:10" x14ac:dyDescent="0.2">
      <c r="B87" s="66">
        <f ca="1"/>
        <v>6.75</v>
      </c>
      <c r="C87" s="46">
        <f t="shared" ca="1" si="12"/>
        <v>1</v>
      </c>
      <c r="D87" s="46">
        <f t="shared" ca="1" si="13"/>
        <v>250</v>
      </c>
      <c r="E87" s="74">
        <f t="shared" ca="1" si="14"/>
        <v>0.996</v>
      </c>
      <c r="F87">
        <f t="shared" ca="1" si="15"/>
        <v>0.29069767441860483</v>
      </c>
      <c r="G87" s="76">
        <f t="shared" ca="1" si="16"/>
        <v>1.4534883720930191E-2</v>
      </c>
      <c r="H87" s="76">
        <f ca="1">SUM($G$4:G87)</f>
        <v>1.0867029069767447</v>
      </c>
      <c r="I87" s="76">
        <f t="shared" ca="1" si="17"/>
        <v>7.8488372093002412E-3</v>
      </c>
      <c r="J87" s="76">
        <f t="shared" ca="1" si="18"/>
        <v>0.39389200950653647</v>
      </c>
    </row>
    <row r="88" spans="2:10" x14ac:dyDescent="0.2">
      <c r="B88" s="66">
        <f ca="1"/>
        <v>6.8</v>
      </c>
      <c r="C88" s="46">
        <f t="shared" ca="1" si="12"/>
        <v>2</v>
      </c>
      <c r="D88" s="46">
        <f t="shared" ca="1" si="13"/>
        <v>252</v>
      </c>
      <c r="E88" s="74">
        <f t="shared" ca="1" si="14"/>
        <v>0.99206349206349209</v>
      </c>
      <c r="F88">
        <f t="shared" ca="1" si="15"/>
        <v>0.29302325581395339</v>
      </c>
      <c r="G88" s="76">
        <f t="shared" ca="1" si="16"/>
        <v>2.9302325581395495E-2</v>
      </c>
      <c r="H88" s="76">
        <f ca="1">SUM($G$4:G88)</f>
        <v>1.1160052325581402</v>
      </c>
      <c r="I88" s="76">
        <f t="shared" ca="1" si="17"/>
        <v>1.5813953488370159E-2</v>
      </c>
      <c r="J88" s="76">
        <f t="shared" ca="1" si="18"/>
        <v>0.78350958080334321</v>
      </c>
    </row>
    <row r="89" spans="2:10" x14ac:dyDescent="0.2">
      <c r="B89" s="66">
        <f ca="1"/>
        <v>6.9</v>
      </c>
      <c r="C89" s="46">
        <f t="shared" ca="1" si="12"/>
        <v>1</v>
      </c>
      <c r="D89" s="46">
        <f t="shared" ca="1" si="13"/>
        <v>253</v>
      </c>
      <c r="E89" s="74">
        <f t="shared" ca="1" si="14"/>
        <v>0.99604743083003955</v>
      </c>
      <c r="F89">
        <f t="shared" ca="1" si="15"/>
        <v>0.29418604651162772</v>
      </c>
      <c r="G89" s="76">
        <f t="shared" ca="1" si="16"/>
        <v>2.9418604651162666E-2</v>
      </c>
      <c r="H89" s="76">
        <f ca="1">SUM($G$4:G89)</f>
        <v>1.1454238372093029</v>
      </c>
      <c r="I89" s="76">
        <f t="shared" ca="1" si="17"/>
        <v>8.0232558139528894E-3</v>
      </c>
      <c r="J89" s="76">
        <f t="shared" ca="1" si="18"/>
        <v>0.38749779405231266</v>
      </c>
    </row>
    <row r="90" spans="2:10" x14ac:dyDescent="0.2">
      <c r="B90" s="66">
        <f ca="1"/>
        <v>7</v>
      </c>
      <c r="C90" s="46">
        <f t="shared" ca="1" si="12"/>
        <v>2</v>
      </c>
      <c r="D90" s="46">
        <f t="shared" ca="1" si="13"/>
        <v>255</v>
      </c>
      <c r="E90" s="74">
        <f t="shared" ca="1" si="14"/>
        <v>0.99215686274509807</v>
      </c>
      <c r="F90">
        <f t="shared" ca="1" si="15"/>
        <v>0.29651162790697644</v>
      </c>
      <c r="G90" s="76">
        <f t="shared" ca="1" si="16"/>
        <v>1.6604651162790696E-2</v>
      </c>
      <c r="H90" s="76">
        <f ca="1">SUM($G$4:G90)</f>
        <v>1.1620284883720935</v>
      </c>
      <c r="I90" s="76">
        <f t="shared" ca="1" si="17"/>
        <v>1.6279069767441035E-2</v>
      </c>
      <c r="J90" s="76">
        <f t="shared" ca="1" si="18"/>
        <v>0.76652810703379493</v>
      </c>
    </row>
    <row r="91" spans="2:10" x14ac:dyDescent="0.2">
      <c r="B91" s="66">
        <f ca="1"/>
        <v>7.056</v>
      </c>
      <c r="C91" s="46">
        <f t="shared" ca="1" si="12"/>
        <v>1</v>
      </c>
      <c r="D91" s="46">
        <f t="shared" ca="1" si="13"/>
        <v>256</v>
      </c>
      <c r="E91" s="74">
        <f t="shared" ca="1" si="14"/>
        <v>0.99609375</v>
      </c>
      <c r="F91">
        <f t="shared" ca="1" si="15"/>
        <v>0.2976744186046511</v>
      </c>
      <c r="G91" s="76">
        <f t="shared" ca="1" si="16"/>
        <v>1.3097674418604528E-2</v>
      </c>
      <c r="H91" s="76">
        <f ca="1">SUM($G$4:G91)</f>
        <v>1.1751261627906979</v>
      </c>
      <c r="I91" s="76">
        <f t="shared" ca="1" si="17"/>
        <v>8.2046511627924361E-3</v>
      </c>
      <c r="J91" s="76">
        <f t="shared" ca="1" si="18"/>
        <v>0.38090331695669472</v>
      </c>
    </row>
    <row r="92" spans="2:10" x14ac:dyDescent="0.2">
      <c r="B92" s="66">
        <f ca="1"/>
        <v>7.1</v>
      </c>
      <c r="C92" s="46">
        <f t="shared" ca="1" si="12"/>
        <v>6</v>
      </c>
      <c r="D92" s="46">
        <f t="shared" ca="1" si="13"/>
        <v>262</v>
      </c>
      <c r="E92" s="74">
        <f t="shared" ca="1" si="14"/>
        <v>0.97709923664122134</v>
      </c>
      <c r="F92">
        <f t="shared" ca="1" si="15"/>
        <v>0.30465116279069782</v>
      </c>
      <c r="G92" s="76">
        <f t="shared" ca="1" si="16"/>
        <v>3.0465116279069674E-2</v>
      </c>
      <c r="H92" s="76">
        <f ca="1">SUM($G$4:G92)</f>
        <v>1.2055912790697676</v>
      </c>
      <c r="I92" s="76">
        <f t="shared" ca="1" si="17"/>
        <v>4.9534883720931656E-2</v>
      </c>
      <c r="J92" s="76">
        <f t="shared" ca="1" si="18"/>
        <v>2.2743214127727405</v>
      </c>
    </row>
    <row r="93" spans="2:10" x14ac:dyDescent="0.2">
      <c r="B93" s="66">
        <f ca="1"/>
        <v>7.1999999999999993</v>
      </c>
      <c r="C93" s="46">
        <f t="shared" ca="1" si="12"/>
        <v>3</v>
      </c>
      <c r="D93" s="46">
        <f t="shared" ca="1" si="13"/>
        <v>265</v>
      </c>
      <c r="E93" s="74">
        <f t="shared" ca="1" si="14"/>
        <v>0.98867924528301887</v>
      </c>
      <c r="F93">
        <f t="shared" ca="1" si="15"/>
        <v>0.30813953488372098</v>
      </c>
      <c r="G93" s="76">
        <f t="shared" ca="1" si="16"/>
        <v>2.7368288514015491E-16</v>
      </c>
      <c r="H93" s="76">
        <f ca="1">SUM($G$4:G93)</f>
        <v>1.2055912790697678</v>
      </c>
      <c r="I93" s="76">
        <f t="shared" ca="1" si="17"/>
        <v>2.5116279069766764E-2</v>
      </c>
      <c r="J93" s="76">
        <f t="shared" ca="1" si="18"/>
        <v>1.1245990196637548</v>
      </c>
    </row>
    <row r="94" spans="2:10" x14ac:dyDescent="0.2">
      <c r="B94" s="66">
        <f ca="1"/>
        <v>7.2</v>
      </c>
      <c r="C94" s="46">
        <f t="shared" ca="1" si="12"/>
        <v>3</v>
      </c>
      <c r="D94" s="46">
        <f t="shared" ca="1" si="13"/>
        <v>268</v>
      </c>
      <c r="E94" s="74">
        <f t="shared" ca="1" si="14"/>
        <v>0.98880597014925375</v>
      </c>
      <c r="F94">
        <f t="shared" ca="1" si="15"/>
        <v>0.31162790697674447</v>
      </c>
      <c r="G94" s="76">
        <f t="shared" ca="1" si="16"/>
        <v>3.1162790697674338E-2</v>
      </c>
      <c r="H94" s="76">
        <f ca="1">SUM($G$4:G94)</f>
        <v>1.2367540697674422</v>
      </c>
      <c r="I94" s="76">
        <f t="shared" ca="1" si="17"/>
        <v>2.5116279069769164E-2</v>
      </c>
      <c r="J94" s="76">
        <f t="shared" ca="1" si="18"/>
        <v>1.124599019663862</v>
      </c>
    </row>
    <row r="95" spans="2:10" x14ac:dyDescent="0.2">
      <c r="B95" s="66">
        <f ca="1"/>
        <v>7.3</v>
      </c>
      <c r="C95" s="46">
        <f t="shared" ca="1" si="12"/>
        <v>3</v>
      </c>
      <c r="D95" s="46">
        <f t="shared" ca="1" si="13"/>
        <v>271</v>
      </c>
      <c r="E95" s="74">
        <f t="shared" ca="1" si="14"/>
        <v>0.98892988929889303</v>
      </c>
      <c r="F95">
        <f t="shared" ca="1" si="15"/>
        <v>0.3151162790697678</v>
      </c>
      <c r="G95" s="76">
        <f t="shared" ca="1" si="16"/>
        <v>1.3865116279069657E-2</v>
      </c>
      <c r="H95" s="76">
        <f ca="1">SUM($G$4:G95)</f>
        <v>1.2506191860465119</v>
      </c>
      <c r="I95" s="76">
        <f t="shared" ca="1" si="17"/>
        <v>2.5465116279070298E-2</v>
      </c>
      <c r="J95" s="76">
        <f t="shared" ca="1" si="18"/>
        <v>1.1121071003831156</v>
      </c>
    </row>
    <row r="96" spans="2:10" x14ac:dyDescent="0.2">
      <c r="B96" s="66">
        <f ca="1"/>
        <v>7.3439999999999994</v>
      </c>
      <c r="C96" s="46">
        <f t="shared" ca="1" si="12"/>
        <v>1</v>
      </c>
      <c r="D96" s="46">
        <f t="shared" ca="1" si="13"/>
        <v>272</v>
      </c>
      <c r="E96" s="74">
        <f t="shared" ca="1" si="14"/>
        <v>0.99632352941176472</v>
      </c>
      <c r="F96">
        <f t="shared" ca="1" si="15"/>
        <v>0.31627906976744191</v>
      </c>
      <c r="G96" s="76">
        <f t="shared" ca="1" si="16"/>
        <v>1.7711627906977043E-2</v>
      </c>
      <c r="H96" s="76">
        <f ca="1">SUM($G$4:G96)</f>
        <v>1.268330813953489</v>
      </c>
      <c r="I96" s="76">
        <f t="shared" ca="1" si="17"/>
        <v>8.5395348837186622E-3</v>
      </c>
      <c r="J96" s="76">
        <f t="shared" ca="1" si="18"/>
        <v>0.36887758607495846</v>
      </c>
    </row>
    <row r="97" spans="2:10" x14ac:dyDescent="0.2">
      <c r="B97" s="66">
        <f ca="1"/>
        <v>7.4</v>
      </c>
      <c r="C97" s="46">
        <f t="shared" ca="1" si="12"/>
        <v>1</v>
      </c>
      <c r="D97" s="46">
        <f t="shared" ca="1" si="13"/>
        <v>273</v>
      </c>
      <c r="E97" s="74">
        <f t="shared" ca="1" si="14"/>
        <v>0.99633699633699635</v>
      </c>
      <c r="F97">
        <f t="shared" ca="1" si="15"/>
        <v>0.31744186046511619</v>
      </c>
      <c r="G97" s="76">
        <f t="shared" ca="1" si="16"/>
        <v>2.7934883720929969E-2</v>
      </c>
      <c r="H97" s="76">
        <f ca="1">SUM($G$4:G97)</f>
        <v>1.2962656976744189</v>
      </c>
      <c r="I97" s="76">
        <f t="shared" ca="1" si="17"/>
        <v>8.604651162789646E-3</v>
      </c>
      <c r="J97" s="76">
        <f t="shared" ca="1" si="18"/>
        <v>0.36656164951470882</v>
      </c>
    </row>
    <row r="98" spans="2:10" x14ac:dyDescent="0.2">
      <c r="B98" s="66">
        <f ca="1"/>
        <v>7.4879999999999995</v>
      </c>
      <c r="C98" s="46">
        <f t="shared" ca="1" si="12"/>
        <v>1</v>
      </c>
      <c r="D98" s="46">
        <f t="shared" ca="1" si="13"/>
        <v>274</v>
      </c>
      <c r="E98" s="74">
        <f t="shared" ca="1" si="14"/>
        <v>0.9963503649635036</v>
      </c>
      <c r="F98">
        <f t="shared" ca="1" si="15"/>
        <v>0.31860465116279091</v>
      </c>
      <c r="G98" s="76">
        <f t="shared" ca="1" si="16"/>
        <v>3.8232558139536356E-3</v>
      </c>
      <c r="H98" s="76">
        <f ca="1">SUM($G$4:G98)</f>
        <v>1.3000889534883726</v>
      </c>
      <c r="I98" s="76">
        <f t="shared" ca="1" si="17"/>
        <v>8.7069767441883064E-3</v>
      </c>
      <c r="J98" s="76">
        <f t="shared" ca="1" si="18"/>
        <v>0.36293705551809285</v>
      </c>
    </row>
    <row r="99" spans="2:10" x14ac:dyDescent="0.2">
      <c r="B99" s="66">
        <f ca="1"/>
        <v>7.5</v>
      </c>
      <c r="C99" s="46">
        <f t="shared" ca="1" si="12"/>
        <v>2</v>
      </c>
      <c r="D99" s="46">
        <f t="shared" ca="1" si="13"/>
        <v>276</v>
      </c>
      <c r="E99" s="74">
        <f t="shared" ca="1" si="14"/>
        <v>0.99275362318840576</v>
      </c>
      <c r="F99">
        <f t="shared" ca="1" si="15"/>
        <v>0.32093023255813929</v>
      </c>
      <c r="G99" s="76">
        <f t="shared" ca="1" si="16"/>
        <v>3.2093023255813813E-2</v>
      </c>
      <c r="H99" s="76">
        <f ca="1">SUM($G$4:G99)</f>
        <v>1.3321819767441865</v>
      </c>
      <c r="I99" s="76">
        <f t="shared" ca="1" si="17"/>
        <v>1.7441860465112896E-2</v>
      </c>
      <c r="J99" s="76">
        <f t="shared" ca="1" si="18"/>
        <v>0.72488837609805234</v>
      </c>
    </row>
    <row r="100" spans="2:10" x14ac:dyDescent="0.2">
      <c r="B100" s="66">
        <f ca="1"/>
        <v>7.6</v>
      </c>
      <c r="C100" s="46">
        <f t="shared" ca="1" si="12"/>
        <v>3</v>
      </c>
      <c r="D100" s="46">
        <f t="shared" ca="1" si="13"/>
        <v>279</v>
      </c>
      <c r="E100" s="74">
        <f t="shared" ca="1" si="14"/>
        <v>0.989247311827957</v>
      </c>
      <c r="F100">
        <f t="shared" ca="1" si="15"/>
        <v>0.32441860465116273</v>
      </c>
      <c r="G100" s="76">
        <f t="shared" ca="1" si="16"/>
        <v>1.0381395348837216E-2</v>
      </c>
      <c r="H100" s="76">
        <f ca="1">SUM($G$4:G100)</f>
        <v>1.3425633720930237</v>
      </c>
      <c r="I100" s="76">
        <f t="shared" ca="1" si="17"/>
        <v>2.6511627906978141E-2</v>
      </c>
      <c r="J100" s="76">
        <f t="shared" ca="1" si="18"/>
        <v>1.0750499471922352</v>
      </c>
    </row>
    <row r="101" spans="2:10" x14ac:dyDescent="0.2">
      <c r="B101" s="66">
        <f ca="1"/>
        <v>7.6319999999999997</v>
      </c>
      <c r="C101" s="46">
        <f t="shared" ca="1" si="12"/>
        <v>2</v>
      </c>
      <c r="D101" s="46">
        <f t="shared" ca="1" si="13"/>
        <v>281</v>
      </c>
      <c r="E101" s="74">
        <f t="shared" ca="1" si="14"/>
        <v>0.99288256227758009</v>
      </c>
      <c r="F101">
        <f t="shared" ca="1" si="15"/>
        <v>0.32674418604651179</v>
      </c>
      <c r="G101" s="76">
        <f t="shared" ca="1" si="16"/>
        <v>2.2218604651162967E-2</v>
      </c>
      <c r="H101" s="76">
        <f ca="1">SUM($G$4:G101)</f>
        <v>1.3647819767441867</v>
      </c>
      <c r="I101" s="76">
        <f t="shared" ca="1" si="17"/>
        <v>1.7748837209303966E-2</v>
      </c>
      <c r="J101" s="76">
        <f t="shared" ca="1" si="18"/>
        <v>0.71408949643357555</v>
      </c>
    </row>
    <row r="102" spans="2:10" x14ac:dyDescent="0.2">
      <c r="B102" s="66">
        <f ca="1"/>
        <v>7.7</v>
      </c>
      <c r="C102" s="46">
        <f t="shared" ca="1" si="12"/>
        <v>3</v>
      </c>
      <c r="D102" s="46">
        <f t="shared" ca="1" si="13"/>
        <v>284</v>
      </c>
      <c r="E102" s="74">
        <f t="shared" ca="1" si="14"/>
        <v>0.98943661971830987</v>
      </c>
      <c r="F102">
        <f t="shared" ca="1" si="15"/>
        <v>0.33023255813953473</v>
      </c>
      <c r="G102" s="76">
        <f t="shared" ca="1" si="16"/>
        <v>2.5097674418604516E-2</v>
      </c>
      <c r="H102" s="76">
        <f ca="1">SUM($G$4:G102)</f>
        <v>1.3898796511627911</v>
      </c>
      <c r="I102" s="76">
        <f t="shared" ca="1" si="17"/>
        <v>2.6860465116276638E-2</v>
      </c>
      <c r="J102" s="76">
        <f t="shared" ca="1" si="18"/>
        <v>1.0628370976788319</v>
      </c>
    </row>
    <row r="103" spans="2:10" x14ac:dyDescent="0.2">
      <c r="B103" s="66">
        <f ca="1"/>
        <v>7.7759999999999998</v>
      </c>
      <c r="C103" s="46">
        <f t="shared" ca="1" si="12"/>
        <v>2</v>
      </c>
      <c r="D103" s="46">
        <f t="shared" ca="1" si="13"/>
        <v>286</v>
      </c>
      <c r="E103" s="74">
        <f t="shared" ca="1" si="14"/>
        <v>0.99300699300699302</v>
      </c>
      <c r="F103">
        <f t="shared" ca="1" si="15"/>
        <v>0.33255813953488345</v>
      </c>
      <c r="G103" s="76">
        <f t="shared" ca="1" si="16"/>
        <v>4.1237209302325731E-2</v>
      </c>
      <c r="H103" s="76">
        <f ca="1">SUM($G$4:G103)</f>
        <v>1.4311168604651168</v>
      </c>
      <c r="I103" s="76">
        <f t="shared" ca="1" si="17"/>
        <v>1.8083720930231639E-2</v>
      </c>
      <c r="J103" s="76">
        <f t="shared" ca="1" si="18"/>
        <v>0.70240132834261382</v>
      </c>
    </row>
    <row r="104" spans="2:10" x14ac:dyDescent="0.2">
      <c r="B104" s="66">
        <f ca="1"/>
        <v>7.9</v>
      </c>
      <c r="C104" s="46">
        <f t="shared" ca="1" si="12"/>
        <v>2</v>
      </c>
      <c r="D104" s="46">
        <f t="shared" ca="1" si="13"/>
        <v>288</v>
      </c>
      <c r="E104" s="74">
        <f t="shared" ca="1" si="14"/>
        <v>0.99305555555555558</v>
      </c>
      <c r="F104">
        <f t="shared" ca="1" si="15"/>
        <v>0.33488372093023255</v>
      </c>
      <c r="G104" s="76">
        <f t="shared" ca="1" si="16"/>
        <v>6.6976744186045085E-3</v>
      </c>
      <c r="H104" s="76">
        <f ca="1">SUM($G$4:G104)</f>
        <v>1.4378145348837212</v>
      </c>
      <c r="I104" s="76">
        <f t="shared" ca="1" si="17"/>
        <v>1.8372093023257954E-2</v>
      </c>
      <c r="J104" s="76">
        <f t="shared" ca="1" si="18"/>
        <v>0.69241380065208658</v>
      </c>
    </row>
    <row r="105" spans="2:10" x14ac:dyDescent="0.2">
      <c r="B105" s="66">
        <f ca="1"/>
        <v>7.92</v>
      </c>
      <c r="C105" s="46">
        <f t="shared" ca="1" si="12"/>
        <v>2</v>
      </c>
      <c r="D105" s="46">
        <f t="shared" ca="1" si="13"/>
        <v>290</v>
      </c>
      <c r="E105" s="74">
        <f t="shared" ca="1" si="14"/>
        <v>0.99310344827586206</v>
      </c>
      <c r="F105">
        <f t="shared" ca="1" si="15"/>
        <v>0.33720930232558161</v>
      </c>
      <c r="G105" s="76">
        <f t="shared" ca="1" si="16"/>
        <v>2.6976744186046554E-2</v>
      </c>
      <c r="H105" s="76">
        <f ca="1">SUM($G$4:G105)</f>
        <v>1.4647912790697677</v>
      </c>
      <c r="I105" s="76">
        <f t="shared" ca="1" si="17"/>
        <v>1.8418604651164495E-2</v>
      </c>
      <c r="J105" s="76">
        <f t="shared" ca="1" si="18"/>
        <v>0.69080960676348124</v>
      </c>
    </row>
    <row r="106" spans="2:10" x14ac:dyDescent="0.2">
      <c r="B106" s="66">
        <f ca="1"/>
        <v>8</v>
      </c>
      <c r="C106" s="46">
        <f t="shared" ca="1" si="12"/>
        <v>6</v>
      </c>
      <c r="D106" s="46">
        <f t="shared" ca="1" si="13"/>
        <v>296</v>
      </c>
      <c r="E106" s="74">
        <f t="shared" ca="1" si="14"/>
        <v>0.97972972972972971</v>
      </c>
      <c r="F106">
        <f t="shared" ca="1" si="15"/>
        <v>0.3441860465116281</v>
      </c>
      <c r="G106" s="76">
        <f t="shared" ca="1" si="16"/>
        <v>2.2027906976744217E-2</v>
      </c>
      <c r="H106" s="76">
        <f ca="1">SUM($G$4:G106)</f>
        <v>1.4868191860465119</v>
      </c>
      <c r="I106" s="76">
        <f t="shared" ca="1" si="17"/>
        <v>5.5813953488371926E-2</v>
      </c>
      <c r="J106" s="76">
        <f t="shared" ca="1" si="18"/>
        <v>2.0532343075806732</v>
      </c>
    </row>
    <row r="107" spans="2:10" x14ac:dyDescent="0.2">
      <c r="B107" s="66">
        <f ca="1"/>
        <v>8.0640000000000001</v>
      </c>
      <c r="C107" s="46">
        <f t="shared" ca="1" si="12"/>
        <v>1</v>
      </c>
      <c r="D107" s="46">
        <f t="shared" ca="1" si="13"/>
        <v>297</v>
      </c>
      <c r="E107" s="74">
        <f t="shared" ca="1" si="14"/>
        <v>0.99663299663299665</v>
      </c>
      <c r="F107">
        <f t="shared" ca="1" si="15"/>
        <v>0.34534883720930293</v>
      </c>
      <c r="G107" s="76">
        <f t="shared" ca="1" si="16"/>
        <v>1.2432558139534764E-2</v>
      </c>
      <c r="H107" s="76">
        <f ca="1">SUM($G$4:G107)</f>
        <v>1.4992517441860467</v>
      </c>
      <c r="I107" s="76">
        <f t="shared" ca="1" si="17"/>
        <v>9.3767441860498416E-3</v>
      </c>
      <c r="J107" s="76">
        <f t="shared" ca="1" si="18"/>
        <v>0.3396571658480273</v>
      </c>
    </row>
    <row r="108" spans="2:10" x14ac:dyDescent="0.2">
      <c r="B108" s="66">
        <f ca="1"/>
        <v>8.1</v>
      </c>
      <c r="C108" s="46">
        <f t="shared" ca="1" si="12"/>
        <v>1</v>
      </c>
      <c r="D108" s="46">
        <f t="shared" ca="1" si="13"/>
        <v>298</v>
      </c>
      <c r="E108" s="74">
        <f t="shared" ca="1" si="14"/>
        <v>0.99664429530201337</v>
      </c>
      <c r="F108">
        <f t="shared" ca="1" si="15"/>
        <v>0.34651162790697676</v>
      </c>
      <c r="G108" s="76">
        <f t="shared" ca="1" si="16"/>
        <v>6.9302325581395721E-2</v>
      </c>
      <c r="H108" s="76">
        <f ca="1">SUM($G$4:G108)</f>
        <v>1.5685540697674425</v>
      </c>
      <c r="I108" s="76">
        <f t="shared" ca="1" si="17"/>
        <v>9.4186046511580412E-3</v>
      </c>
      <c r="J108" s="76">
        <f t="shared" ca="1" si="18"/>
        <v>0.33822779134800646</v>
      </c>
    </row>
    <row r="109" spans="2:10" x14ac:dyDescent="0.2">
      <c r="B109" s="66">
        <f ca="1"/>
        <v>8.3000000000000007</v>
      </c>
      <c r="C109" s="46">
        <f t="shared" ca="1" si="12"/>
        <v>3</v>
      </c>
      <c r="D109" s="46">
        <f t="shared" ca="1" si="13"/>
        <v>301</v>
      </c>
      <c r="E109" s="74">
        <f t="shared" ca="1" si="14"/>
        <v>0.99003322259136217</v>
      </c>
      <c r="F109">
        <f t="shared" ca="1" si="15"/>
        <v>0.34999999999999976</v>
      </c>
      <c r="G109" s="76">
        <f t="shared" ca="1" si="16"/>
        <v>1.8199999999999848E-2</v>
      </c>
      <c r="H109" s="76">
        <f ca="1">SUM($G$4:G109)</f>
        <v>1.5867540697674423</v>
      </c>
      <c r="I109" s="76">
        <f t="shared" ca="1" si="17"/>
        <v>2.8953488372090865E-2</v>
      </c>
      <c r="J109" s="76">
        <f t="shared" ca="1" si="18"/>
        <v>0.99102511687842154</v>
      </c>
    </row>
    <row r="110" spans="2:10" x14ac:dyDescent="0.2">
      <c r="B110" s="66">
        <f ca="1"/>
        <v>8.3520000000000003</v>
      </c>
      <c r="C110" s="46">
        <f t="shared" ca="1" si="12"/>
        <v>1</v>
      </c>
      <c r="D110" s="46">
        <f t="shared" ca="1" si="13"/>
        <v>302</v>
      </c>
      <c r="E110" s="74">
        <f t="shared" ca="1" si="14"/>
        <v>0.99668874172185429</v>
      </c>
      <c r="F110">
        <f t="shared" ca="1" si="15"/>
        <v>0.35116279069767453</v>
      </c>
      <c r="G110" s="76">
        <f t="shared" ca="1" si="16"/>
        <v>1.6855813953488393E-2</v>
      </c>
      <c r="H110" s="76">
        <f ca="1">SUM($G$4:G110)</f>
        <v>1.6036098837209307</v>
      </c>
      <c r="I110" s="76">
        <f t="shared" ca="1" si="17"/>
        <v>9.7116279069797296E-3</v>
      </c>
      <c r="J110" s="76">
        <f t="shared" ca="1" si="18"/>
        <v>0.32830656054784529</v>
      </c>
    </row>
    <row r="111" spans="2:10" x14ac:dyDescent="0.2">
      <c r="B111" s="66">
        <f ca="1"/>
        <v>8.4</v>
      </c>
      <c r="C111" s="46">
        <f t="shared" ca="1" si="12"/>
        <v>1</v>
      </c>
      <c r="D111" s="46">
        <f t="shared" ca="1" si="13"/>
        <v>303</v>
      </c>
      <c r="E111" s="74">
        <f t="shared" ca="1" si="14"/>
        <v>0.99669966996699666</v>
      </c>
      <c r="F111">
        <f t="shared" ca="1" si="15"/>
        <v>0.35232558139534886</v>
      </c>
      <c r="G111" s="76">
        <f t="shared" ca="1" si="16"/>
        <v>2.8186046511627934E-2</v>
      </c>
      <c r="H111" s="76">
        <f ca="1">SUM($G$4:G111)</f>
        <v>1.6317959302325586</v>
      </c>
      <c r="I111" s="76">
        <f t="shared" ca="1" si="17"/>
        <v>9.7674418604643872E-3</v>
      </c>
      <c r="J111" s="76">
        <f t="shared" ca="1" si="18"/>
        <v>0.32643354648606515</v>
      </c>
    </row>
    <row r="112" spans="2:10" x14ac:dyDescent="0.2">
      <c r="B112" s="66">
        <f ca="1"/>
        <v>8.48</v>
      </c>
      <c r="C112" s="46">
        <f t="shared" ca="1" si="12"/>
        <v>1</v>
      </c>
      <c r="D112" s="46">
        <f t="shared" ca="1" si="13"/>
        <v>304</v>
      </c>
      <c r="E112" s="74">
        <f t="shared" ca="1" si="14"/>
        <v>0.99671052631578949</v>
      </c>
      <c r="F112">
        <f t="shared" ca="1" si="15"/>
        <v>0.35348837209302336</v>
      </c>
      <c r="G112" s="76">
        <f t="shared" ca="1" si="16"/>
        <v>1.4139534883720634E-2</v>
      </c>
      <c r="H112" s="76">
        <f ca="1">SUM($G$4:G112)</f>
        <v>1.6459354651162792</v>
      </c>
      <c r="I112" s="76">
        <f t="shared" ca="1" si="17"/>
        <v>9.8604651162797468E-3</v>
      </c>
      <c r="J112" s="76">
        <f t="shared" ca="1" si="18"/>
        <v>0.3233237633600976</v>
      </c>
    </row>
    <row r="113" spans="2:10" x14ac:dyDescent="0.2">
      <c r="B113" s="66">
        <f ca="1"/>
        <v>8.52</v>
      </c>
      <c r="C113" s="46">
        <f t="shared" ca="1" si="12"/>
        <v>1</v>
      </c>
      <c r="D113" s="46">
        <f t="shared" ca="1" si="13"/>
        <v>305</v>
      </c>
      <c r="E113" s="74">
        <f t="shared" ca="1" si="14"/>
        <v>0.99672131147540988</v>
      </c>
      <c r="F113">
        <f t="shared" ca="1" si="15"/>
        <v>0.35465116279069775</v>
      </c>
      <c r="G113" s="76">
        <f t="shared" ca="1" si="16"/>
        <v>6.383720930232549E-2</v>
      </c>
      <c r="H113" s="76">
        <f ca="1">SUM($G$4:G113)</f>
        <v>1.7097726744186046</v>
      </c>
      <c r="I113" s="76">
        <f t="shared" ca="1" si="17"/>
        <v>9.9069767441857803E-3</v>
      </c>
      <c r="J113" s="76">
        <f t="shared" ca="1" si="18"/>
        <v>0.3217744531924086</v>
      </c>
    </row>
    <row r="114" spans="2:10" x14ac:dyDescent="0.2">
      <c r="B114" s="66">
        <f ca="1"/>
        <v>8.6999999999999993</v>
      </c>
      <c r="C114" s="46">
        <f t="shared" ca="1" si="12"/>
        <v>2</v>
      </c>
      <c r="D114" s="46">
        <f t="shared" ca="1" si="13"/>
        <v>307</v>
      </c>
      <c r="E114" s="74">
        <f t="shared" ca="1" si="14"/>
        <v>0.99348534201954397</v>
      </c>
      <c r="F114">
        <f t="shared" ca="1" si="15"/>
        <v>0.35697674418604641</v>
      </c>
      <c r="G114" s="76">
        <f t="shared" ca="1" si="16"/>
        <v>8.1390697674418491E-2</v>
      </c>
      <c r="H114" s="76">
        <f ca="1">SUM($G$4:G114)</f>
        <v>1.7911633720930231</v>
      </c>
      <c r="I114" s="76">
        <f t="shared" ca="1" si="17"/>
        <v>2.0232558139533372E-2</v>
      </c>
      <c r="J114" s="76">
        <f t="shared" ca="1" si="18"/>
        <v>0.62969720789911965</v>
      </c>
    </row>
    <row r="115" spans="2:10" x14ac:dyDescent="0.2">
      <c r="B115" s="66">
        <f ca="1"/>
        <v>8.927999999999999</v>
      </c>
      <c r="C115" s="46">
        <f t="shared" ca="1" si="12"/>
        <v>1</v>
      </c>
      <c r="D115" s="46">
        <f t="shared" ca="1" si="13"/>
        <v>308</v>
      </c>
      <c r="E115" s="74">
        <f t="shared" ca="1" si="14"/>
        <v>0.99675324675324672</v>
      </c>
      <c r="F115">
        <f t="shared" ca="1" si="15"/>
        <v>0.35813953488372074</v>
      </c>
      <c r="G115" s="76">
        <f t="shared" ca="1" si="16"/>
        <v>2.5786046511628236E-2</v>
      </c>
      <c r="H115" s="76">
        <f ca="1">SUM($G$4:G115)</f>
        <v>1.8169494186046513</v>
      </c>
      <c r="I115" s="76">
        <f t="shared" ca="1" si="17"/>
        <v>1.0381395348836434E-2</v>
      </c>
      <c r="J115" s="76">
        <f t="shared" ca="1" si="18"/>
        <v>0.30618402901716463</v>
      </c>
    </row>
    <row r="116" spans="2:10" x14ac:dyDescent="0.2">
      <c r="B116" s="66">
        <f ca="1"/>
        <v>9</v>
      </c>
      <c r="C116" s="46">
        <f t="shared" ca="1" si="12"/>
        <v>1</v>
      </c>
      <c r="D116" s="46">
        <f t="shared" ca="1" si="13"/>
        <v>309</v>
      </c>
      <c r="E116" s="74">
        <f t="shared" ca="1" si="14"/>
        <v>0.99676375404530748</v>
      </c>
      <c r="F116">
        <f t="shared" ca="1" si="15"/>
        <v>0.35930232558139513</v>
      </c>
      <c r="G116" s="76">
        <f t="shared" ca="1" si="16"/>
        <v>3.5930232558139388E-2</v>
      </c>
      <c r="H116" s="76">
        <f ca="1">SUM($G$4:G116)</f>
        <v>1.8528796511627907</v>
      </c>
      <c r="I116" s="76">
        <f t="shared" ca="1" si="17"/>
        <v>1.0465116279069486E-2</v>
      </c>
      <c r="J116" s="76">
        <f t="shared" ca="1" si="18"/>
        <v>0.30347296373865029</v>
      </c>
    </row>
    <row r="117" spans="2:10" x14ac:dyDescent="0.2">
      <c r="B117" s="66">
        <f ca="1"/>
        <v>9.1</v>
      </c>
      <c r="C117" s="46">
        <f t="shared" ca="1" si="12"/>
        <v>2</v>
      </c>
      <c r="D117" s="46">
        <f t="shared" ca="1" si="13"/>
        <v>311</v>
      </c>
      <c r="E117" s="74">
        <f t="shared" ca="1" si="14"/>
        <v>0.99356913183279738</v>
      </c>
      <c r="F117">
        <f t="shared" ca="1" si="15"/>
        <v>0.36162790697674457</v>
      </c>
      <c r="G117" s="76">
        <f t="shared" ca="1" si="16"/>
        <v>3.6162790697674328E-2</v>
      </c>
      <c r="H117" s="76">
        <f ca="1">SUM($G$4:G117)</f>
        <v>1.889042441860465</v>
      </c>
      <c r="I117" s="76">
        <f t="shared" ca="1" si="17"/>
        <v>2.1162790697679911E-2</v>
      </c>
      <c r="J117" s="76">
        <f t="shared" ca="1" si="18"/>
        <v>0.59945519059266972</v>
      </c>
    </row>
    <row r="118" spans="2:10" x14ac:dyDescent="0.2">
      <c r="B118" s="66">
        <f ca="1"/>
        <v>9.1999999999999993</v>
      </c>
      <c r="C118" s="46">
        <f t="shared" ca="1" si="12"/>
        <v>2</v>
      </c>
      <c r="D118" s="46">
        <f t="shared" ca="1" si="13"/>
        <v>313</v>
      </c>
      <c r="E118" s="74">
        <f t="shared" ca="1" si="14"/>
        <v>0.99361022364217255</v>
      </c>
      <c r="F118">
        <f t="shared" ca="1" si="15"/>
        <v>0.36395348837209335</v>
      </c>
      <c r="G118" s="76">
        <f t="shared" ca="1" si="16"/>
        <v>5.8232558139534986E-3</v>
      </c>
      <c r="H118" s="76">
        <f ca="1">SUM($G$4:G118)</f>
        <v>1.8948656976744185</v>
      </c>
      <c r="I118" s="76">
        <f t="shared" ca="1" si="17"/>
        <v>2.1395348837208727E-2</v>
      </c>
      <c r="J118" s="76">
        <f t="shared" ca="1" si="18"/>
        <v>0.59201096533560282</v>
      </c>
    </row>
    <row r="119" spans="2:10" x14ac:dyDescent="0.2">
      <c r="B119" s="66">
        <f ca="1"/>
        <v>9.2159999999999993</v>
      </c>
      <c r="C119" s="46">
        <f t="shared" ca="1" si="12"/>
        <v>2</v>
      </c>
      <c r="D119" s="46">
        <f t="shared" ca="1" si="13"/>
        <v>315</v>
      </c>
      <c r="E119" s="74">
        <f t="shared" ca="1" si="14"/>
        <v>0.99365079365079367</v>
      </c>
      <c r="F119">
        <f t="shared" ca="1" si="15"/>
        <v>0.36627906976744218</v>
      </c>
      <c r="G119" s="76">
        <f t="shared" ca="1" si="16"/>
        <v>3.0767441860465657E-2</v>
      </c>
      <c r="H119" s="76">
        <f ca="1">SUM($G$4:G119)</f>
        <v>1.9256331395348842</v>
      </c>
      <c r="I119" s="76">
        <f t="shared" ca="1" si="17"/>
        <v>2.1432558139534819E-2</v>
      </c>
      <c r="J119" s="76">
        <f t="shared" ca="1" si="18"/>
        <v>0.59082420557358339</v>
      </c>
    </row>
    <row r="120" spans="2:10" x14ac:dyDescent="0.2">
      <c r="B120" s="66">
        <f ca="1"/>
        <v>9.3000000000000007</v>
      </c>
      <c r="C120" s="46">
        <f t="shared" ca="1" si="12"/>
        <v>5</v>
      </c>
      <c r="D120" s="46">
        <f t="shared" ca="1" si="13"/>
        <v>320</v>
      </c>
      <c r="E120" s="74">
        <f t="shared" ca="1" si="14"/>
        <v>0.984375</v>
      </c>
      <c r="F120">
        <f t="shared" ca="1" si="15"/>
        <v>0.37209302325581395</v>
      </c>
      <c r="G120" s="76">
        <f t="shared" ca="1" si="16"/>
        <v>3.7209302325581263E-2</v>
      </c>
      <c r="H120" s="76">
        <f ca="1">SUM($G$4:G120)</f>
        <v>1.9628424418604655</v>
      </c>
      <c r="I120" s="76">
        <f t="shared" ca="1" si="17"/>
        <v>5.4069767441857465E-2</v>
      </c>
      <c r="J120" s="76">
        <f t="shared" ca="1" si="18"/>
        <v>1.4615331292664937</v>
      </c>
    </row>
    <row r="121" spans="2:10" x14ac:dyDescent="0.2">
      <c r="B121" s="66">
        <f ca="1"/>
        <v>9.4</v>
      </c>
      <c r="C121" s="46">
        <f t="shared" ca="1" si="12"/>
        <v>1</v>
      </c>
      <c r="D121" s="46">
        <f t="shared" ca="1" si="13"/>
        <v>321</v>
      </c>
      <c r="E121" s="74">
        <f t="shared" ca="1" si="14"/>
        <v>0.99688473520249221</v>
      </c>
      <c r="F121">
        <f t="shared" ca="1" si="15"/>
        <v>0.3732558139534885</v>
      </c>
      <c r="G121" s="76">
        <f t="shared" ca="1" si="16"/>
        <v>3.7325581395348716E-2</v>
      </c>
      <c r="H121" s="76">
        <f ca="1">SUM($G$4:G121)</f>
        <v>2.0001680232558141</v>
      </c>
      <c r="I121" s="76">
        <f t="shared" ca="1" si="17"/>
        <v>1.0930232558140808E-2</v>
      </c>
      <c r="J121" s="76">
        <f t="shared" ca="1" si="18"/>
        <v>0.28863102485280778</v>
      </c>
    </row>
    <row r="122" spans="2:10" x14ac:dyDescent="0.2">
      <c r="B122" s="66">
        <f ca="1"/>
        <v>9.5</v>
      </c>
      <c r="C122" s="46">
        <f t="shared" ca="1" si="12"/>
        <v>2</v>
      </c>
      <c r="D122" s="46">
        <f t="shared" ca="1" si="13"/>
        <v>323</v>
      </c>
      <c r="E122" s="74">
        <f t="shared" ca="1" si="14"/>
        <v>0.99380804953560375</v>
      </c>
      <c r="F122">
        <f t="shared" ca="1" si="15"/>
        <v>0.37558139534883717</v>
      </c>
      <c r="G122" s="76">
        <f t="shared" ca="1" si="16"/>
        <v>1.5023255813951832E-3</v>
      </c>
      <c r="H122" s="76">
        <f ca="1">SUM($G$4:G122)</f>
        <v>2.0016703488372092</v>
      </c>
      <c r="I122" s="76">
        <f t="shared" ca="1" si="17"/>
        <v>2.2093023255812305E-2</v>
      </c>
      <c r="J122" s="76">
        <f t="shared" ca="1" si="18"/>
        <v>0.56995735933233116</v>
      </c>
    </row>
    <row r="123" spans="2:10" x14ac:dyDescent="0.2">
      <c r="B123" s="66">
        <f ca="1"/>
        <v>9.5039999999999996</v>
      </c>
      <c r="C123" s="46">
        <f t="shared" ca="1" si="12"/>
        <v>1</v>
      </c>
      <c r="D123" s="46">
        <f t="shared" ca="1" si="13"/>
        <v>324</v>
      </c>
      <c r="E123" s="74">
        <f t="shared" ca="1" si="14"/>
        <v>0.99691358024691357</v>
      </c>
      <c r="F123">
        <f t="shared" ca="1" si="15"/>
        <v>0.3767441860465115</v>
      </c>
      <c r="G123" s="76">
        <f t="shared" ca="1" si="16"/>
        <v>3.6167441860465138E-2</v>
      </c>
      <c r="H123" s="76">
        <f ca="1">SUM($G$4:G123)</f>
        <v>2.0378377906976741</v>
      </c>
      <c r="I123" s="76">
        <f t="shared" ca="1" si="17"/>
        <v>1.105116279069685E-2</v>
      </c>
      <c r="J123" s="76">
        <f t="shared" ca="1" si="18"/>
        <v>0.28483306957963234</v>
      </c>
    </row>
    <row r="124" spans="2:10" x14ac:dyDescent="0.2">
      <c r="B124" s="66">
        <f ca="1"/>
        <v>9.6</v>
      </c>
      <c r="C124" s="46">
        <f t="shared" ca="1" si="12"/>
        <v>2</v>
      </c>
      <c r="D124" s="46">
        <f t="shared" ca="1" si="13"/>
        <v>326</v>
      </c>
      <c r="E124" s="74">
        <f t="shared" ca="1" si="14"/>
        <v>0.99386503067484666</v>
      </c>
      <c r="F124">
        <f t="shared" ca="1" si="15"/>
        <v>0.37906976744186022</v>
      </c>
      <c r="G124" s="76">
        <f t="shared" ca="1" si="16"/>
        <v>1.8195348837209305E-2</v>
      </c>
      <c r="H124" s="76">
        <f ca="1">SUM($G$4:G124)</f>
        <v>2.0560331395348834</v>
      </c>
      <c r="I124" s="76">
        <f t="shared" ca="1" si="17"/>
        <v>2.2325581395347703E-2</v>
      </c>
      <c r="J124" s="76">
        <f t="shared" ca="1" si="18"/>
        <v>0.56269918058707746</v>
      </c>
    </row>
    <row r="125" spans="2:10" x14ac:dyDescent="0.2">
      <c r="B125" s="66">
        <f ca="1"/>
        <v>9.6479999999999997</v>
      </c>
      <c r="C125" s="46">
        <f t="shared" ca="1" si="12"/>
        <v>2</v>
      </c>
      <c r="D125" s="46">
        <f t="shared" ca="1" si="13"/>
        <v>328</v>
      </c>
      <c r="E125" s="74">
        <f t="shared" ca="1" si="14"/>
        <v>0.99390243902439024</v>
      </c>
      <c r="F125">
        <f t="shared" ca="1" si="15"/>
        <v>0.38139534883720982</v>
      </c>
      <c r="G125" s="76">
        <f t="shared" ca="1" si="16"/>
        <v>5.4920930232558264E-2</v>
      </c>
      <c r="H125" s="76">
        <f ca="1">SUM($G$4:G125)</f>
        <v>2.1109540697674416</v>
      </c>
      <c r="I125" s="76">
        <f t="shared" ca="1" si="17"/>
        <v>2.2437209302333012E-2</v>
      </c>
      <c r="J125" s="76">
        <f t="shared" ca="1" si="18"/>
        <v>0.55923177571979521</v>
      </c>
    </row>
    <row r="126" spans="2:10" x14ac:dyDescent="0.2">
      <c r="B126" s="66">
        <f ca="1"/>
        <v>9.7919999999999998</v>
      </c>
      <c r="C126" s="46">
        <f t="shared" ca="1" si="12"/>
        <v>1</v>
      </c>
      <c r="D126" s="46">
        <f t="shared" ca="1" si="13"/>
        <v>329</v>
      </c>
      <c r="E126" s="74">
        <f t="shared" ca="1" si="14"/>
        <v>0.99696048632218848</v>
      </c>
      <c r="F126">
        <f t="shared" ca="1" si="15"/>
        <v>0.38255813953488343</v>
      </c>
      <c r="G126" s="76">
        <f t="shared" ca="1" si="16"/>
        <v>3.0604651162794098E-3</v>
      </c>
      <c r="H126" s="76">
        <f ca="1">SUM($G$4:G126)</f>
        <v>2.1140145348837209</v>
      </c>
      <c r="I126" s="76">
        <f t="shared" ca="1" si="17"/>
        <v>1.1386046511619992E-2</v>
      </c>
      <c r="J126" s="76">
        <f t="shared" ca="1" si="18"/>
        <v>0.27444692939557958</v>
      </c>
    </row>
    <row r="127" spans="2:10" x14ac:dyDescent="0.2">
      <c r="B127" s="66">
        <f ca="1"/>
        <v>9.8000000000000007</v>
      </c>
      <c r="C127" s="46">
        <f t="shared" ca="1" si="12"/>
        <v>5</v>
      </c>
      <c r="D127" s="46">
        <f t="shared" ca="1" si="13"/>
        <v>334</v>
      </c>
      <c r="E127" s="74">
        <f t="shared" ca="1" si="14"/>
        <v>0.98502994011976053</v>
      </c>
      <c r="F127">
        <f t="shared" ca="1" si="15"/>
        <v>0.3883720930232562</v>
      </c>
      <c r="G127" s="76">
        <f t="shared" ca="1" si="16"/>
        <v>3.8837209302325482E-2</v>
      </c>
      <c r="H127" s="76">
        <f ca="1">SUM($G$4:G127)</f>
        <v>2.1528517441860462</v>
      </c>
      <c r="I127" s="76">
        <f t="shared" ca="1" si="17"/>
        <v>5.6976744186053148E-2</v>
      </c>
      <c r="J127" s="76">
        <f t="shared" ca="1" si="18"/>
        <v>1.3708058949508881</v>
      </c>
    </row>
    <row r="128" spans="2:10" x14ac:dyDescent="0.2">
      <c r="B128" s="66">
        <f ca="1"/>
        <v>9.9</v>
      </c>
      <c r="C128" s="46">
        <f t="shared" ca="1" si="12"/>
        <v>3</v>
      </c>
      <c r="D128" s="46">
        <f t="shared" ca="1" si="13"/>
        <v>337</v>
      </c>
      <c r="E128" s="74">
        <f t="shared" ca="1" si="14"/>
        <v>0.99109792284866471</v>
      </c>
      <c r="F128">
        <f t="shared" ca="1" si="15"/>
        <v>0.39186046511627931</v>
      </c>
      <c r="G128" s="76">
        <f t="shared" ca="1" si="16"/>
        <v>1.4106976744185894E-2</v>
      </c>
      <c r="H128" s="76">
        <f ca="1">SUM($G$4:G128)</f>
        <v>2.1669587209302321</v>
      </c>
      <c r="I128" s="76">
        <f t="shared" ca="1" si="17"/>
        <v>3.4534883720928757E-2</v>
      </c>
      <c r="J128" s="76">
        <f t="shared" ca="1" si="18"/>
        <v>0.81180557117808239</v>
      </c>
    </row>
    <row r="129" spans="2:10" x14ac:dyDescent="0.2">
      <c r="B129" s="66">
        <f ca="1"/>
        <v>9.9359999999999999</v>
      </c>
      <c r="C129" s="46">
        <f t="shared" ca="1" si="12"/>
        <v>1</v>
      </c>
      <c r="D129" s="46">
        <f t="shared" ca="1" si="13"/>
        <v>338</v>
      </c>
      <c r="E129" s="74">
        <f t="shared" ca="1" si="14"/>
        <v>0.99704142011834318</v>
      </c>
      <c r="F129">
        <f t="shared" ca="1" si="15"/>
        <v>0.39302325581395359</v>
      </c>
      <c r="G129" s="76">
        <f t="shared" ca="1" si="16"/>
        <v>2.5153488372093052E-2</v>
      </c>
      <c r="H129" s="76">
        <f ca="1">SUM($G$4:G129)</f>
        <v>2.1921122093023251</v>
      </c>
      <c r="I129" s="76">
        <f t="shared" ca="1" si="17"/>
        <v>1.155348837209161E-2</v>
      </c>
      <c r="J129" s="76">
        <f t="shared" ca="1" si="18"/>
        <v>0.2693261941875168</v>
      </c>
    </row>
    <row r="130" spans="2:10" x14ac:dyDescent="0.2">
      <c r="B130" s="66">
        <f ca="1"/>
        <v>10</v>
      </c>
      <c r="C130" s="46">
        <f t="shared" ca="1" si="12"/>
        <v>26</v>
      </c>
      <c r="D130" s="46">
        <f t="shared" ca="1" si="13"/>
        <v>364</v>
      </c>
      <c r="E130" s="74">
        <f t="shared" ca="1" si="14"/>
        <v>0.9285714285714286</v>
      </c>
      <c r="F130">
        <f t="shared" ca="1" si="15"/>
        <v>0.4232558139534886</v>
      </c>
      <c r="G130" s="76">
        <f t="shared" ca="1" si="16"/>
        <v>0.15575813953488393</v>
      </c>
      <c r="H130" s="76">
        <f ca="1">SUM($G$4:G130)</f>
        <v>2.3478703488372092</v>
      </c>
      <c r="I130" s="76">
        <f t="shared" ca="1" si="17"/>
        <v>0.30232558139535015</v>
      </c>
      <c r="J130" s="76">
        <f t="shared" ca="1" si="18"/>
        <v>6.9437105645063939</v>
      </c>
    </row>
    <row r="131" spans="2:10" x14ac:dyDescent="0.2">
      <c r="B131" s="66">
        <f ca="1"/>
        <v>10.368</v>
      </c>
      <c r="C131" s="46">
        <f t="shared" ca="1" si="12"/>
        <v>1</v>
      </c>
      <c r="D131" s="46">
        <f t="shared" ca="1" si="13"/>
        <v>365</v>
      </c>
      <c r="E131" s="74">
        <f t="shared" ca="1" si="14"/>
        <v>0.99726027397260275</v>
      </c>
      <c r="F131">
        <f t="shared" ca="1" si="15"/>
        <v>0.4244186046511626</v>
      </c>
      <c r="G131" s="76">
        <f t="shared" ca="1" si="16"/>
        <v>1.3581395348837216E-2</v>
      </c>
      <c r="H131" s="76">
        <f ca="1">SUM($G$4:G131)</f>
        <v>2.3614517441860463</v>
      </c>
      <c r="I131" s="76">
        <f t="shared" ca="1" si="17"/>
        <v>1.2055813953484019E-2</v>
      </c>
      <c r="J131" s="76">
        <f t="shared" ca="1" si="18"/>
        <v>0.2542533280976797</v>
      </c>
    </row>
    <row r="132" spans="2:10" x14ac:dyDescent="0.2">
      <c r="B132" s="66">
        <f ca="1"/>
        <v>10.4</v>
      </c>
      <c r="C132" s="46">
        <f t="shared" ref="C132:C195" ca="1" si="19">COUNTIF(RAW_DATA,B132)</f>
        <v>1</v>
      </c>
      <c r="D132" s="46">
        <f t="shared" ca="1" si="13"/>
        <v>366</v>
      </c>
      <c r="E132" s="74">
        <f t="shared" ca="1" si="14"/>
        <v>0.99726775956284153</v>
      </c>
      <c r="F132">
        <f t="shared" ca="1" si="15"/>
        <v>0.4255813953488371</v>
      </c>
      <c r="G132" s="76">
        <f t="shared" ca="1" si="16"/>
        <v>4.2558139534883556E-2</v>
      </c>
      <c r="H132" s="76">
        <f ca="1">SUM($G$4:G132)</f>
        <v>2.4040098837209301</v>
      </c>
      <c r="I132" s="76">
        <f t="shared" ca="1" si="17"/>
        <v>1.2093023255814784E-2</v>
      </c>
      <c r="J132" s="76">
        <f t="shared" ca="1" si="18"/>
        <v>0.25315408461482508</v>
      </c>
    </row>
    <row r="133" spans="2:10" x14ac:dyDescent="0.2">
      <c r="B133" s="66">
        <f ca="1"/>
        <v>10.5</v>
      </c>
      <c r="C133" s="46">
        <f t="shared" ca="1" si="19"/>
        <v>1</v>
      </c>
      <c r="D133" s="46">
        <f t="shared" ref="D133:D196" ca="1" si="20">COUNTIF(ALL_DATA,B133)+D132</f>
        <v>367</v>
      </c>
      <c r="E133" s="74">
        <f t="shared" ref="E133:E196" ca="1" si="21">1-C133/D133</f>
        <v>0.99727520435967298</v>
      </c>
      <c r="F133">
        <f t="shared" ref="F133:F196" ca="1" si="22">PRODUCT(E134:E984)</f>
        <v>0.42674418604651176</v>
      </c>
      <c r="G133" s="76">
        <f t="shared" ref="G133:G196" ca="1" si="23">(B134-B133)*F133</f>
        <v>4.2674418604651022E-2</v>
      </c>
      <c r="H133" s="76">
        <f ca="1">SUM($G$4:G133)</f>
        <v>2.4466843023255809</v>
      </c>
      <c r="I133" s="76">
        <f t="shared" ca="1" si="17"/>
        <v>1.2209302325583982E-2</v>
      </c>
      <c r="J133" s="76">
        <f t="shared" ca="1" si="18"/>
        <v>0.24973429756780818</v>
      </c>
    </row>
    <row r="134" spans="2:10" x14ac:dyDescent="0.2">
      <c r="B134" s="66">
        <f ca="1"/>
        <v>10.6</v>
      </c>
      <c r="C134" s="46">
        <f t="shared" ca="1" si="19"/>
        <v>1</v>
      </c>
      <c r="D134" s="46">
        <f t="shared" ca="1" si="20"/>
        <v>368</v>
      </c>
      <c r="E134" s="74">
        <f t="shared" ca="1" si="21"/>
        <v>0.99728260869565222</v>
      </c>
      <c r="F134">
        <f t="shared" ca="1" si="22"/>
        <v>0.42790697674418582</v>
      </c>
      <c r="G134" s="76">
        <f t="shared" ca="1" si="23"/>
        <v>4.2790697674418426E-2</v>
      </c>
      <c r="H134" s="76">
        <f ca="1">SUM($G$4:G134)</f>
        <v>2.4894749999999992</v>
      </c>
      <c r="I134" s="76">
        <f t="shared" ref="I134:I197" ca="1" si="24">B134*(F134-F133)</f>
        <v>1.2325581395344976E-2</v>
      </c>
      <c r="J134" s="76">
        <f t="shared" ref="J134:J197" ca="1" si="25">POWER(B134-$M$3,2)*(F134-F133)</f>
        <v>0.24633776633457913</v>
      </c>
    </row>
    <row r="135" spans="2:10" x14ac:dyDescent="0.2">
      <c r="B135" s="66">
        <f ca="1"/>
        <v>10.7</v>
      </c>
      <c r="C135" s="46">
        <f t="shared" ca="1" si="19"/>
        <v>2</v>
      </c>
      <c r="D135" s="46">
        <f t="shared" ca="1" si="20"/>
        <v>370</v>
      </c>
      <c r="E135" s="74">
        <f t="shared" ca="1" si="21"/>
        <v>0.99459459459459465</v>
      </c>
      <c r="F135">
        <f t="shared" ca="1" si="22"/>
        <v>0.43023255813953498</v>
      </c>
      <c r="G135" s="76">
        <f t="shared" ca="1" si="23"/>
        <v>4.3023255813953346E-2</v>
      </c>
      <c r="H135" s="76">
        <f ca="1">SUM($G$4:G135)</f>
        <v>2.5324982558139526</v>
      </c>
      <c r="I135" s="76">
        <f t="shared" ca="1" si="24"/>
        <v>2.4883720930236046E-2</v>
      </c>
      <c r="J135" s="76">
        <f t="shared" ca="1" si="25"/>
        <v>0.48592898183108979</v>
      </c>
    </row>
    <row r="136" spans="2:10" x14ac:dyDescent="0.2">
      <c r="B136" s="66">
        <f ca="1"/>
        <v>10.799999999999999</v>
      </c>
      <c r="C136" s="46">
        <f t="shared" ca="1" si="19"/>
        <v>1</v>
      </c>
      <c r="D136" s="46">
        <f t="shared" ca="1" si="20"/>
        <v>371</v>
      </c>
      <c r="E136" s="74">
        <f t="shared" ca="1" si="21"/>
        <v>0.99730458221024254</v>
      </c>
      <c r="F136">
        <f t="shared" ca="1" si="22"/>
        <v>0.43139534883720948</v>
      </c>
      <c r="G136" s="76">
        <f t="shared" ca="1" si="23"/>
        <v>4.3139534883721561E-2</v>
      </c>
      <c r="H136" s="76">
        <f ca="1">SUM($G$4:G136)</f>
        <v>2.575637790697674</v>
      </c>
      <c r="I136" s="76">
        <f t="shared" ca="1" si="24"/>
        <v>1.255813953488458E-2</v>
      </c>
      <c r="J136" s="76">
        <f t="shared" ca="1" si="25"/>
        <v>0.23961447131033528</v>
      </c>
    </row>
    <row r="137" spans="2:10" x14ac:dyDescent="0.2">
      <c r="B137" s="66">
        <f ca="1"/>
        <v>10.9</v>
      </c>
      <c r="C137" s="46">
        <f t="shared" ca="1" si="19"/>
        <v>1</v>
      </c>
      <c r="D137" s="46">
        <f t="shared" ca="1" si="20"/>
        <v>372</v>
      </c>
      <c r="E137" s="74">
        <f t="shared" ca="1" si="21"/>
        <v>0.99731182795698925</v>
      </c>
      <c r="F137">
        <f t="shared" ca="1" si="22"/>
        <v>0.43255813953488348</v>
      </c>
      <c r="G137" s="76">
        <f t="shared" ca="1" si="23"/>
        <v>4.3255813953488195E-2</v>
      </c>
      <c r="H137" s="76">
        <f ca="1">SUM($G$4:G137)</f>
        <v>2.6188936046511619</v>
      </c>
      <c r="I137" s="76">
        <f t="shared" ca="1" si="24"/>
        <v>1.2674418604646588E-2</v>
      </c>
      <c r="J137" s="76">
        <f t="shared" ca="1" si="25"/>
        <v>0.236287707518995</v>
      </c>
    </row>
    <row r="138" spans="2:10" x14ac:dyDescent="0.2">
      <c r="B138" s="66">
        <f ca="1"/>
        <v>11</v>
      </c>
      <c r="C138" s="46">
        <f t="shared" ca="1" si="19"/>
        <v>13</v>
      </c>
      <c r="D138" s="46">
        <f t="shared" ca="1" si="20"/>
        <v>385</v>
      </c>
      <c r="E138" s="74">
        <f t="shared" ca="1" si="21"/>
        <v>0.96623376623376622</v>
      </c>
      <c r="F138">
        <f t="shared" ca="1" si="22"/>
        <v>0.4476744186046514</v>
      </c>
      <c r="G138" s="76">
        <f t="shared" ca="1" si="23"/>
        <v>3.9395348837208959E-2</v>
      </c>
      <c r="H138" s="76">
        <f ca="1">SUM($G$4:G138)</f>
        <v>2.6582889534883707</v>
      </c>
      <c r="I138" s="76">
        <f t="shared" ca="1" si="24"/>
        <v>0.16627906976744716</v>
      </c>
      <c r="J138" s="76">
        <f t="shared" ca="1" si="25"/>
        <v>3.0287945940434358</v>
      </c>
    </row>
    <row r="139" spans="2:10" x14ac:dyDescent="0.2">
      <c r="B139" s="66">
        <f ca="1"/>
        <v>11.087999999999999</v>
      </c>
      <c r="C139" s="46">
        <f t="shared" ca="1" si="19"/>
        <v>1</v>
      </c>
      <c r="D139" s="46">
        <f t="shared" ca="1" si="20"/>
        <v>386</v>
      </c>
      <c r="E139" s="74">
        <f t="shared" ca="1" si="21"/>
        <v>0.99740932642487046</v>
      </c>
      <c r="F139">
        <f t="shared" ca="1" si="22"/>
        <v>0.44883720930232585</v>
      </c>
      <c r="G139" s="76">
        <f t="shared" ca="1" si="23"/>
        <v>5.0269767441860541E-2</v>
      </c>
      <c r="H139" s="76">
        <f ca="1">SUM($G$4:G139)</f>
        <v>2.7085587209302311</v>
      </c>
      <c r="I139" s="76">
        <f t="shared" ca="1" si="24"/>
        <v>1.2893023255814222E-2</v>
      </c>
      <c r="J139" s="76">
        <f t="shared" ca="1" si="25"/>
        <v>0.23009634973109164</v>
      </c>
    </row>
    <row r="140" spans="2:10" x14ac:dyDescent="0.2">
      <c r="B140" s="66">
        <f ca="1"/>
        <v>11.2</v>
      </c>
      <c r="C140" s="46">
        <f t="shared" ca="1" si="19"/>
        <v>1</v>
      </c>
      <c r="D140" s="46">
        <f t="shared" ca="1" si="20"/>
        <v>387</v>
      </c>
      <c r="E140" s="74">
        <f t="shared" ca="1" si="21"/>
        <v>0.99741602067183466</v>
      </c>
      <c r="F140">
        <f t="shared" ca="1" si="22"/>
        <v>0.44999999999999996</v>
      </c>
      <c r="G140" s="76">
        <f t="shared" ca="1" si="23"/>
        <v>7.9200000000000062E-2</v>
      </c>
      <c r="H140" s="76">
        <f ca="1">SUM($G$4:G140)</f>
        <v>2.7877587209302312</v>
      </c>
      <c r="I140" s="76">
        <f t="shared" ca="1" si="24"/>
        <v>1.302325581395003E-2</v>
      </c>
      <c r="J140" s="76">
        <f t="shared" ca="1" si="25"/>
        <v>0.22644695102902559</v>
      </c>
    </row>
    <row r="141" spans="2:10" x14ac:dyDescent="0.2">
      <c r="B141" s="66">
        <f ca="1"/>
        <v>11.375999999999999</v>
      </c>
      <c r="C141" s="46">
        <f t="shared" ca="1" si="19"/>
        <v>2</v>
      </c>
      <c r="D141" s="46">
        <f t="shared" ca="1" si="20"/>
        <v>389</v>
      </c>
      <c r="E141" s="74">
        <f t="shared" ca="1" si="21"/>
        <v>0.99485861182519275</v>
      </c>
      <c r="F141">
        <f t="shared" ca="1" si="22"/>
        <v>0.45232558139534873</v>
      </c>
      <c r="G141" s="76">
        <f t="shared" ca="1" si="23"/>
        <v>1.8093023255819991E-3</v>
      </c>
      <c r="H141" s="76">
        <f ca="1">SUM($G$4:G141)</f>
        <v>2.7895680232558133</v>
      </c>
      <c r="I141" s="76">
        <f t="shared" ca="1" si="24"/>
        <v>2.6455813953487659E-2</v>
      </c>
      <c r="J141" s="76">
        <f t="shared" ca="1" si="25"/>
        <v>0.44154224235020939</v>
      </c>
    </row>
    <row r="142" spans="2:10" x14ac:dyDescent="0.2">
      <c r="B142" s="66">
        <f ca="1"/>
        <v>11.38</v>
      </c>
      <c r="C142" s="46">
        <f t="shared" ca="1" si="19"/>
        <v>1</v>
      </c>
      <c r="D142" s="46">
        <f t="shared" ca="1" si="20"/>
        <v>390</v>
      </c>
      <c r="E142" s="74">
        <f t="shared" ca="1" si="21"/>
        <v>0.99743589743589745</v>
      </c>
      <c r="F142">
        <f t="shared" ca="1" si="22"/>
        <v>0.45348837209302356</v>
      </c>
      <c r="G142" s="76">
        <f t="shared" ca="1" si="23"/>
        <v>9.0697674418602787E-3</v>
      </c>
      <c r="H142" s="76">
        <f ca="1">SUM($G$4:G142)</f>
        <v>2.7986377906976738</v>
      </c>
      <c r="I142" s="76">
        <f t="shared" ca="1" si="24"/>
        <v>1.3232558139539583E-2</v>
      </c>
      <c r="J142" s="76">
        <f t="shared" ca="1" si="25"/>
        <v>0.22064296225144636</v>
      </c>
    </row>
    <row r="143" spans="2:10" x14ac:dyDescent="0.2">
      <c r="B143" s="66">
        <f ca="1"/>
        <v>11.4</v>
      </c>
      <c r="C143" s="46">
        <f t="shared" ca="1" si="19"/>
        <v>1</v>
      </c>
      <c r="D143" s="46">
        <f t="shared" ca="1" si="20"/>
        <v>391</v>
      </c>
      <c r="E143" s="74">
        <f t="shared" ca="1" si="21"/>
        <v>0.99744245524296671</v>
      </c>
      <c r="F143">
        <f t="shared" ca="1" si="22"/>
        <v>0.45465116279069734</v>
      </c>
      <c r="G143" s="76">
        <f t="shared" ca="1" si="23"/>
        <v>4.5919767441860021E-2</v>
      </c>
      <c r="H143" s="76">
        <f ca="1">SUM($G$4:G143)</f>
        <v>2.8445575581395337</v>
      </c>
      <c r="I143" s="76">
        <f t="shared" ca="1" si="24"/>
        <v>1.3255813953481054E-2</v>
      </c>
      <c r="J143" s="76">
        <f t="shared" ca="1" si="25"/>
        <v>0.22000272577206867</v>
      </c>
    </row>
    <row r="144" spans="2:10" x14ac:dyDescent="0.2">
      <c r="B144" s="66">
        <f ca="1"/>
        <v>11.500999999999999</v>
      </c>
      <c r="C144" s="46">
        <f t="shared" ca="1" si="19"/>
        <v>1</v>
      </c>
      <c r="D144" s="46">
        <f t="shared" ca="1" si="20"/>
        <v>392</v>
      </c>
      <c r="E144" s="74">
        <f t="shared" ca="1" si="21"/>
        <v>0.99744897959183676</v>
      </c>
      <c r="F144">
        <f t="shared" ca="1" si="22"/>
        <v>0.45581395348837228</v>
      </c>
      <c r="G144" s="76">
        <f t="shared" ca="1" si="23"/>
        <v>4.5125581395348946E-2</v>
      </c>
      <c r="H144" s="76">
        <f ca="1">SUM($G$4:G144)</f>
        <v>2.8896831395348825</v>
      </c>
      <c r="I144" s="76">
        <f t="shared" ca="1" si="24"/>
        <v>1.3373255813959513E-2</v>
      </c>
      <c r="J144" s="76">
        <f t="shared" ca="1" si="25"/>
        <v>0.21678374201755549</v>
      </c>
    </row>
    <row r="145" spans="2:10" x14ac:dyDescent="0.2">
      <c r="B145" s="66">
        <f ca="1"/>
        <v>11.6</v>
      </c>
      <c r="C145" s="46">
        <f t="shared" ca="1" si="19"/>
        <v>1</v>
      </c>
      <c r="D145" s="46">
        <f t="shared" ca="1" si="20"/>
        <v>393</v>
      </c>
      <c r="E145" s="74">
        <f t="shared" ca="1" si="21"/>
        <v>0.99745547073791352</v>
      </c>
      <c r="F145">
        <f t="shared" ca="1" si="22"/>
        <v>0.45697674418604678</v>
      </c>
      <c r="G145" s="76">
        <f t="shared" ca="1" si="23"/>
        <v>2.9246511627907021E-2</v>
      </c>
      <c r="H145" s="76">
        <f ca="1">SUM($G$4:G145)</f>
        <v>2.9189296511627894</v>
      </c>
      <c r="I145" s="76">
        <f t="shared" ca="1" si="24"/>
        <v>1.3488372093024181E-2</v>
      </c>
      <c r="J145" s="76">
        <f t="shared" ca="1" si="25"/>
        <v>0.21365152377112312</v>
      </c>
    </row>
    <row r="146" spans="2:10" x14ac:dyDescent="0.2">
      <c r="B146" s="66">
        <f ca="1"/>
        <v>11.664</v>
      </c>
      <c r="C146" s="46">
        <f t="shared" ca="1" si="19"/>
        <v>1</v>
      </c>
      <c r="D146" s="46">
        <f t="shared" ca="1" si="20"/>
        <v>394</v>
      </c>
      <c r="E146" s="74">
        <f t="shared" ca="1" si="21"/>
        <v>0.9974619289340102</v>
      </c>
      <c r="F146">
        <f t="shared" ca="1" si="22"/>
        <v>0.458139534883721</v>
      </c>
      <c r="G146" s="76">
        <f t="shared" ca="1" si="23"/>
        <v>1.6493023255813768E-2</v>
      </c>
      <c r="H146" s="76">
        <f ca="1">SUM($G$4:G146)</f>
        <v>2.9354226744186032</v>
      </c>
      <c r="I146" s="76">
        <f t="shared" ca="1" si="24"/>
        <v>1.3562790697672111E-2</v>
      </c>
      <c r="J146" s="76">
        <f t="shared" ca="1" si="25"/>
        <v>0.21163878564235425</v>
      </c>
    </row>
    <row r="147" spans="2:10" x14ac:dyDescent="0.2">
      <c r="B147" s="66">
        <f ca="1"/>
        <v>11.7</v>
      </c>
      <c r="C147" s="46">
        <f t="shared" ca="1" si="19"/>
        <v>1</v>
      </c>
      <c r="D147" s="46">
        <f t="shared" ca="1" si="20"/>
        <v>395</v>
      </c>
      <c r="E147" s="74">
        <f t="shared" ca="1" si="21"/>
        <v>0.99746835443037973</v>
      </c>
      <c r="F147">
        <f t="shared" ca="1" si="22"/>
        <v>0.45930232558139517</v>
      </c>
      <c r="G147" s="76">
        <f t="shared" ca="1" si="23"/>
        <v>9.1860465116279516E-2</v>
      </c>
      <c r="H147" s="76">
        <f ca="1">SUM($G$4:G147)</f>
        <v>3.0272831395348825</v>
      </c>
      <c r="I147" s="76">
        <f t="shared" ca="1" si="24"/>
        <v>1.3604651162787734E-2</v>
      </c>
      <c r="J147" s="76">
        <f t="shared" ca="1" si="25"/>
        <v>0.21051080649145201</v>
      </c>
    </row>
    <row r="148" spans="2:10" x14ac:dyDescent="0.2">
      <c r="B148" s="66">
        <f ca="1"/>
        <v>11.9</v>
      </c>
      <c r="C148" s="46">
        <f t="shared" ca="1" si="19"/>
        <v>1</v>
      </c>
      <c r="D148" s="46">
        <f t="shared" ca="1" si="20"/>
        <v>396</v>
      </c>
      <c r="E148" s="74">
        <f t="shared" ca="1" si="21"/>
        <v>0.99747474747474751</v>
      </c>
      <c r="F148">
        <f t="shared" ca="1" si="22"/>
        <v>0.46046511627907011</v>
      </c>
      <c r="G148" s="76">
        <f t="shared" ca="1" si="23"/>
        <v>4.604651162790685E-2</v>
      </c>
      <c r="H148" s="76">
        <f ca="1">SUM($G$4:G148)</f>
        <v>3.0733296511627892</v>
      </c>
      <c r="I148" s="76">
        <f t="shared" ca="1" si="24"/>
        <v>1.3837209302331815E-2</v>
      </c>
      <c r="J148" s="76">
        <f t="shared" ca="1" si="25"/>
        <v>0.20429913937422914</v>
      </c>
    </row>
    <row r="149" spans="2:10" x14ac:dyDescent="0.2">
      <c r="B149" s="66">
        <f ca="1"/>
        <v>12</v>
      </c>
      <c r="C149" s="46">
        <f t="shared" ca="1" si="19"/>
        <v>16</v>
      </c>
      <c r="D149" s="46">
        <f t="shared" ca="1" si="20"/>
        <v>412</v>
      </c>
      <c r="E149" s="74">
        <f t="shared" ca="1" si="21"/>
        <v>0.96116504854368934</v>
      </c>
      <c r="F149">
        <f t="shared" ca="1" si="22"/>
        <v>0.47906976744186042</v>
      </c>
      <c r="G149" s="76">
        <f t="shared" ca="1" si="23"/>
        <v>4.790697674418587E-2</v>
      </c>
      <c r="H149" s="76">
        <f ca="1">SUM($G$4:G149)</f>
        <v>3.121236627906975</v>
      </c>
      <c r="I149" s="76">
        <f t="shared" ca="1" si="24"/>
        <v>0.22325581395348371</v>
      </c>
      <c r="J149" s="76">
        <f t="shared" ca="1" si="25"/>
        <v>3.2196510325821244</v>
      </c>
    </row>
    <row r="150" spans="2:10" x14ac:dyDescent="0.2">
      <c r="B150" s="66">
        <f ca="1"/>
        <v>12.1</v>
      </c>
      <c r="C150" s="46">
        <f t="shared" ca="1" si="19"/>
        <v>1</v>
      </c>
      <c r="D150" s="46">
        <f t="shared" ca="1" si="20"/>
        <v>413</v>
      </c>
      <c r="E150" s="74">
        <f t="shared" ca="1" si="21"/>
        <v>0.99757869249394671</v>
      </c>
      <c r="F150">
        <f t="shared" ca="1" si="22"/>
        <v>0.48023255813953486</v>
      </c>
      <c r="G150" s="76">
        <f t="shared" ca="1" si="23"/>
        <v>6.7232558139535159E-2</v>
      </c>
      <c r="H150" s="76">
        <f ca="1">SUM($G$4:G150)</f>
        <v>3.1884691860465102</v>
      </c>
      <c r="I150" s="76">
        <f t="shared" ca="1" si="24"/>
        <v>1.4069767441860758E-2</v>
      </c>
      <c r="J150" s="76">
        <f t="shared" ca="1" si="25"/>
        <v>0.19818049551259448</v>
      </c>
    </row>
    <row r="151" spans="2:10" x14ac:dyDescent="0.2">
      <c r="B151" s="66">
        <f ca="1"/>
        <v>12.24</v>
      </c>
      <c r="C151" s="46">
        <f t="shared" ca="1" si="19"/>
        <v>1</v>
      </c>
      <c r="D151" s="46">
        <f t="shared" ca="1" si="20"/>
        <v>414</v>
      </c>
      <c r="E151" s="74">
        <f t="shared" ca="1" si="21"/>
        <v>0.99758454106280192</v>
      </c>
      <c r="F151">
        <f t="shared" ca="1" si="22"/>
        <v>0.48139534883720925</v>
      </c>
      <c r="G151" s="76">
        <f t="shared" ca="1" si="23"/>
        <v>6.9320930232557337E-2</v>
      </c>
      <c r="H151" s="76">
        <f ca="1">SUM($G$4:G151)</f>
        <v>3.2577901162790677</v>
      </c>
      <c r="I151" s="76">
        <f t="shared" ca="1" si="24"/>
        <v>1.4232558139534501E-2</v>
      </c>
      <c r="J151" s="76">
        <f t="shared" ca="1" si="25"/>
        <v>0.1939527936467117</v>
      </c>
    </row>
    <row r="152" spans="2:10" x14ac:dyDescent="0.2">
      <c r="B152" s="66">
        <f ca="1"/>
        <v>12.383999999999999</v>
      </c>
      <c r="C152" s="46">
        <f t="shared" ca="1" si="19"/>
        <v>3</v>
      </c>
      <c r="D152" s="46">
        <f t="shared" ca="1" si="20"/>
        <v>417</v>
      </c>
      <c r="E152" s="74">
        <f t="shared" ca="1" si="21"/>
        <v>0.9928057553956835</v>
      </c>
      <c r="F152">
        <f t="shared" ca="1" si="22"/>
        <v>0.48488372093023224</v>
      </c>
      <c r="G152" s="76">
        <f t="shared" ca="1" si="23"/>
        <v>5.6246511627907635E-2</v>
      </c>
      <c r="H152" s="76">
        <f ca="1">SUM($G$4:G152)</f>
        <v>3.3140366279069755</v>
      </c>
      <c r="I152" s="76">
        <f t="shared" ca="1" si="24"/>
        <v>4.3199999999996769E-2</v>
      </c>
      <c r="J152" s="76">
        <f t="shared" ca="1" si="25"/>
        <v>0.56895556136195802</v>
      </c>
    </row>
    <row r="153" spans="2:10" x14ac:dyDescent="0.2">
      <c r="B153" s="66">
        <f ca="1"/>
        <v>12.5</v>
      </c>
      <c r="C153" s="46">
        <f t="shared" ca="1" si="19"/>
        <v>2</v>
      </c>
      <c r="D153" s="46">
        <f t="shared" ca="1" si="20"/>
        <v>419</v>
      </c>
      <c r="E153" s="74">
        <f t="shared" ca="1" si="21"/>
        <v>0.99522673031026254</v>
      </c>
      <c r="F153">
        <f t="shared" ca="1" si="22"/>
        <v>0.48720930232558152</v>
      </c>
      <c r="G153" s="76">
        <f t="shared" ca="1" si="23"/>
        <v>8.3800000000000305E-2</v>
      </c>
      <c r="H153" s="76">
        <f ca="1">SUM($G$4:G153)</f>
        <v>3.3978366279069756</v>
      </c>
      <c r="I153" s="76">
        <f t="shared" ca="1" si="24"/>
        <v>2.9069767441865929E-2</v>
      </c>
      <c r="J153" s="76">
        <f t="shared" ca="1" si="25"/>
        <v>0.37244455511394731</v>
      </c>
    </row>
    <row r="154" spans="2:10" x14ac:dyDescent="0.2">
      <c r="B154" s="66">
        <f ca="1"/>
        <v>12.672000000000001</v>
      </c>
      <c r="C154" s="46">
        <f t="shared" ca="1" si="19"/>
        <v>1</v>
      </c>
      <c r="D154" s="46">
        <f t="shared" ca="1" si="20"/>
        <v>420</v>
      </c>
      <c r="E154" s="74">
        <f t="shared" ca="1" si="21"/>
        <v>0.99761904761904763</v>
      </c>
      <c r="F154">
        <f t="shared" ca="1" si="22"/>
        <v>0.48837209302325574</v>
      </c>
      <c r="G154" s="76">
        <f t="shared" ca="1" si="23"/>
        <v>0.1601860465116276</v>
      </c>
      <c r="H154" s="76">
        <f ca="1">SUM($G$4:G154)</f>
        <v>3.558022674418603</v>
      </c>
      <c r="I154" s="76">
        <f t="shared" ca="1" si="24"/>
        <v>1.4734883720927726E-2</v>
      </c>
      <c r="J154" s="76">
        <f t="shared" ca="1" si="25"/>
        <v>0.18119464383597755</v>
      </c>
    </row>
    <row r="155" spans="2:10" x14ac:dyDescent="0.2">
      <c r="B155" s="66">
        <f ca="1"/>
        <v>13</v>
      </c>
      <c r="C155" s="46">
        <f t="shared" ca="1" si="19"/>
        <v>4</v>
      </c>
      <c r="D155" s="46">
        <f t="shared" ca="1" si="20"/>
        <v>424</v>
      </c>
      <c r="E155" s="74">
        <f t="shared" ca="1" si="21"/>
        <v>0.99056603773584906</v>
      </c>
      <c r="F155">
        <f t="shared" ca="1" si="22"/>
        <v>0.49302325581395329</v>
      </c>
      <c r="G155" s="76">
        <f t="shared" ca="1" si="23"/>
        <v>5.1274418604650748E-2</v>
      </c>
      <c r="H155" s="76">
        <f ca="1">SUM($G$4:G155)</f>
        <v>3.6092970930232537</v>
      </c>
      <c r="I155" s="76">
        <f t="shared" ca="1" si="24"/>
        <v>6.0465116279068143E-2</v>
      </c>
      <c r="J155" s="76">
        <f t="shared" ca="1" si="25"/>
        <v>0.6871910437052916</v>
      </c>
    </row>
    <row r="156" spans="2:10" x14ac:dyDescent="0.2">
      <c r="B156" s="66">
        <f ca="1"/>
        <v>13.103999999999999</v>
      </c>
      <c r="C156" s="46">
        <f t="shared" ca="1" si="19"/>
        <v>3</v>
      </c>
      <c r="D156" s="46">
        <f t="shared" ca="1" si="20"/>
        <v>427</v>
      </c>
      <c r="E156" s="74">
        <f t="shared" ca="1" si="21"/>
        <v>0.99297423887587821</v>
      </c>
      <c r="F156">
        <f t="shared" ca="1" si="22"/>
        <v>0.496511627906977</v>
      </c>
      <c r="G156" s="76">
        <f t="shared" ca="1" si="23"/>
        <v>0.21449302325581426</v>
      </c>
      <c r="H156" s="76">
        <f ca="1">SUM($G$4:G156)</f>
        <v>3.823790116279068</v>
      </c>
      <c r="I156" s="76">
        <f t="shared" ca="1" si="24"/>
        <v>4.5711627906982785E-2</v>
      </c>
      <c r="J156" s="76">
        <f t="shared" ca="1" si="25"/>
        <v>0.50661150998294358</v>
      </c>
    </row>
    <row r="157" spans="2:10" x14ac:dyDescent="0.2">
      <c r="B157" s="66">
        <f ca="1"/>
        <v>13.536</v>
      </c>
      <c r="C157" s="46">
        <f t="shared" ca="1" si="19"/>
        <v>2</v>
      </c>
      <c r="D157" s="46">
        <f t="shared" ca="1" si="20"/>
        <v>429</v>
      </c>
      <c r="E157" s="74">
        <f t="shared" ca="1" si="21"/>
        <v>0.99533799533799538</v>
      </c>
      <c r="F157">
        <f t="shared" ca="1" si="22"/>
        <v>0.49883720930232495</v>
      </c>
      <c r="G157" s="76">
        <f t="shared" ca="1" si="23"/>
        <v>0.21549767441860368</v>
      </c>
      <c r="H157" s="76">
        <f ca="1">SUM($G$4:G157)</f>
        <v>4.0392877906976716</v>
      </c>
      <c r="I157" s="76">
        <f t="shared" ca="1" si="24"/>
        <v>3.1479069767429743E-2</v>
      </c>
      <c r="J157" s="76">
        <f t="shared" ca="1" si="25"/>
        <v>0.31396074424301557</v>
      </c>
    </row>
    <row r="158" spans="2:10" x14ac:dyDescent="0.2">
      <c r="B158" s="66">
        <f ca="1"/>
        <v>13.967999999999998</v>
      </c>
      <c r="C158" s="46">
        <f t="shared" ca="1" si="19"/>
        <v>1</v>
      </c>
      <c r="D158" s="46">
        <f t="shared" ca="1" si="20"/>
        <v>430</v>
      </c>
      <c r="E158" s="74">
        <f t="shared" ca="1" si="21"/>
        <v>0.99767441860465111</v>
      </c>
      <c r="F158">
        <f t="shared" ca="1" si="22"/>
        <v>0.49999999999999978</v>
      </c>
      <c r="G158" s="76">
        <f t="shared" ca="1" si="23"/>
        <v>1.6000000000000895E-2</v>
      </c>
      <c r="H158" s="76">
        <f ca="1">SUM($G$4:G158)</f>
        <v>4.0552877906976725</v>
      </c>
      <c r="I158" s="76">
        <f t="shared" ca="1" si="24"/>
        <v>1.6241860465122042E-2</v>
      </c>
      <c r="J158" s="76">
        <f t="shared" ca="1" si="25"/>
        <v>0.14552425021788815</v>
      </c>
    </row>
    <row r="159" spans="2:10" x14ac:dyDescent="0.2">
      <c r="B159" s="66">
        <f ca="1"/>
        <v>14</v>
      </c>
      <c r="C159" s="46">
        <f t="shared" ca="1" si="19"/>
        <v>17</v>
      </c>
      <c r="D159" s="46">
        <f t="shared" ca="1" si="20"/>
        <v>447</v>
      </c>
      <c r="E159" s="74">
        <f t="shared" ca="1" si="21"/>
        <v>0.96196868008948544</v>
      </c>
      <c r="F159">
        <f t="shared" ca="1" si="22"/>
        <v>0.51976744186046497</v>
      </c>
      <c r="G159" s="76">
        <f t="shared" ca="1" si="23"/>
        <v>0.13306046511627914</v>
      </c>
      <c r="H159" s="76">
        <f ca="1">SUM($G$4:G159)</f>
        <v>4.1883482558139518</v>
      </c>
      <c r="I159" s="76">
        <f t="shared" ca="1" si="24"/>
        <v>0.27674418604651274</v>
      </c>
      <c r="J159" s="76">
        <f t="shared" ca="1" si="25"/>
        <v>2.4597795330974965</v>
      </c>
    </row>
    <row r="160" spans="2:10" x14ac:dyDescent="0.2">
      <c r="B160" s="66">
        <f ca="1"/>
        <v>14.256</v>
      </c>
      <c r="C160" s="46">
        <f t="shared" ca="1" si="19"/>
        <v>1</v>
      </c>
      <c r="D160" s="46">
        <f t="shared" ca="1" si="20"/>
        <v>448</v>
      </c>
      <c r="E160" s="74">
        <f t="shared" ca="1" si="21"/>
        <v>0.9977678571428571</v>
      </c>
      <c r="F160">
        <f t="shared" ca="1" si="22"/>
        <v>0.52093023255813953</v>
      </c>
      <c r="G160" s="76">
        <f t="shared" ca="1" si="23"/>
        <v>2.2920930232558392E-2</v>
      </c>
      <c r="H160" s="76">
        <f ca="1">SUM($G$4:G160)</f>
        <v>4.2112691860465103</v>
      </c>
      <c r="I160" s="76">
        <f t="shared" ca="1" si="24"/>
        <v>1.6576744186048441E-2</v>
      </c>
      <c r="J160" s="76">
        <f t="shared" ca="1" si="25"/>
        <v>0.13812795189443444</v>
      </c>
    </row>
    <row r="161" spans="2:10" x14ac:dyDescent="0.2">
      <c r="B161" s="66">
        <f ca="1"/>
        <v>14.3</v>
      </c>
      <c r="C161" s="46">
        <f t="shared" ca="1" si="19"/>
        <v>1</v>
      </c>
      <c r="D161" s="46">
        <f t="shared" ca="1" si="20"/>
        <v>449</v>
      </c>
      <c r="E161" s="74">
        <f t="shared" ca="1" si="21"/>
        <v>0.99777282850779514</v>
      </c>
      <c r="F161">
        <f t="shared" ca="1" si="22"/>
        <v>0.52209302325581386</v>
      </c>
      <c r="G161" s="76">
        <f t="shared" ca="1" si="23"/>
        <v>5.220930232558027E-2</v>
      </c>
      <c r="H161" s="76">
        <f ca="1">SUM($G$4:G161)</f>
        <v>4.2634784883720904</v>
      </c>
      <c r="I161" s="76">
        <f t="shared" ca="1" si="24"/>
        <v>1.6627906976742945E-2</v>
      </c>
      <c r="J161" s="76">
        <f t="shared" ca="1" si="25"/>
        <v>0.13701494791928645</v>
      </c>
    </row>
    <row r="162" spans="2:10" x14ac:dyDescent="0.2">
      <c r="B162" s="66">
        <f ca="1"/>
        <v>14.399999999999999</v>
      </c>
      <c r="C162" s="46">
        <f t="shared" ca="1" si="19"/>
        <v>5</v>
      </c>
      <c r="D162" s="46">
        <f t="shared" ca="1" si="20"/>
        <v>454</v>
      </c>
      <c r="E162" s="74">
        <f t="shared" ca="1" si="21"/>
        <v>0.98898678414096919</v>
      </c>
      <c r="F162">
        <f t="shared" ca="1" si="22"/>
        <v>0.5279069767441863</v>
      </c>
      <c r="G162" s="76">
        <f t="shared" ca="1" si="23"/>
        <v>0.10558139534883783</v>
      </c>
      <c r="H162" s="76">
        <f ca="1">SUM($G$4:G162)</f>
        <v>4.3690598837209285</v>
      </c>
      <c r="I162" s="76">
        <f t="shared" ca="1" si="24"/>
        <v>8.3720930232563079E-2</v>
      </c>
      <c r="J162" s="76">
        <f t="shared" ca="1" si="25"/>
        <v>0.67251068808219128</v>
      </c>
    </row>
    <row r="163" spans="2:10" x14ac:dyDescent="0.2">
      <c r="B163" s="66">
        <f ca="1"/>
        <v>14.6</v>
      </c>
      <c r="C163" s="46">
        <f t="shared" ca="1" si="19"/>
        <v>1</v>
      </c>
      <c r="D163" s="46">
        <f t="shared" ca="1" si="20"/>
        <v>455</v>
      </c>
      <c r="E163" s="74">
        <f t="shared" ca="1" si="21"/>
        <v>0.99780219780219781</v>
      </c>
      <c r="F163">
        <f t="shared" ca="1" si="22"/>
        <v>0.52906976744186041</v>
      </c>
      <c r="G163" s="76">
        <f t="shared" ca="1" si="23"/>
        <v>0.10581395348837265</v>
      </c>
      <c r="H163" s="76">
        <f ca="1">SUM($G$4:G163)</f>
        <v>4.4748738372093015</v>
      </c>
      <c r="I163" s="76">
        <f t="shared" ca="1" si="24"/>
        <v>1.6976744186042003E-2</v>
      </c>
      <c r="J163" s="76">
        <f t="shared" ca="1" si="25"/>
        <v>0.12954628445252353</v>
      </c>
    </row>
    <row r="164" spans="2:10" x14ac:dyDescent="0.2">
      <c r="B164" s="66">
        <f ca="1"/>
        <v>14.8</v>
      </c>
      <c r="C164" s="46">
        <f t="shared" ca="1" si="19"/>
        <v>2</v>
      </c>
      <c r="D164" s="46">
        <f t="shared" ca="1" si="20"/>
        <v>457</v>
      </c>
      <c r="E164" s="74">
        <f t="shared" ca="1" si="21"/>
        <v>0.99562363238512031</v>
      </c>
      <c r="F164">
        <f t="shared" ca="1" si="22"/>
        <v>0.53139534883720918</v>
      </c>
      <c r="G164" s="76">
        <f t="shared" ca="1" si="23"/>
        <v>9.3525581395347959E-2</v>
      </c>
      <c r="H164" s="76">
        <f ca="1">SUM($G$4:G164)</f>
        <v>4.5683994186046499</v>
      </c>
      <c r="I164" s="76">
        <f t="shared" ca="1" si="24"/>
        <v>3.4418604651161866E-2</v>
      </c>
      <c r="J164" s="76">
        <f t="shared" ca="1" si="25"/>
        <v>0.24936690908899228</v>
      </c>
    </row>
    <row r="165" spans="2:10" x14ac:dyDescent="0.2">
      <c r="B165" s="66">
        <f ca="1"/>
        <v>14.975999999999999</v>
      </c>
      <c r="C165" s="46">
        <f t="shared" ca="1" si="19"/>
        <v>1</v>
      </c>
      <c r="D165" s="46">
        <f t="shared" ca="1" si="20"/>
        <v>458</v>
      </c>
      <c r="E165" s="74">
        <f t="shared" ca="1" si="21"/>
        <v>0.99781659388646293</v>
      </c>
      <c r="F165">
        <f t="shared" ca="1" si="22"/>
        <v>0.53255813953488418</v>
      </c>
      <c r="G165" s="76">
        <f t="shared" ca="1" si="23"/>
        <v>1.2781395348837704E-2</v>
      </c>
      <c r="H165" s="76">
        <f ca="1">SUM($G$4:G165)</f>
        <v>4.5811808139534875</v>
      </c>
      <c r="I165" s="76">
        <f t="shared" ca="1" si="24"/>
        <v>1.7413953488380769E-2</v>
      </c>
      <c r="J165" s="76">
        <f t="shared" ca="1" si="25"/>
        <v>0.12048111306267746</v>
      </c>
    </row>
    <row r="166" spans="2:10" x14ac:dyDescent="0.2">
      <c r="B166" s="66">
        <f ca="1"/>
        <v>15</v>
      </c>
      <c r="C166" s="46">
        <f t="shared" ca="1" si="19"/>
        <v>11</v>
      </c>
      <c r="D166" s="46">
        <f t="shared" ca="1" si="20"/>
        <v>469</v>
      </c>
      <c r="E166" s="74">
        <f t="shared" ca="1" si="21"/>
        <v>0.97654584221748397</v>
      </c>
      <c r="F166">
        <f t="shared" ca="1" si="22"/>
        <v>0.54534883720930227</v>
      </c>
      <c r="G166" s="76">
        <f t="shared" ca="1" si="23"/>
        <v>0.27267441860465114</v>
      </c>
      <c r="H166" s="76">
        <f ca="1">SUM($G$4:G166)</f>
        <v>4.8538552325581383</v>
      </c>
      <c r="I166" s="76">
        <f t="shared" ca="1" si="24"/>
        <v>0.19186046511627142</v>
      </c>
      <c r="J166" s="76">
        <f t="shared" ca="1" si="25"/>
        <v>1.319050126814753</v>
      </c>
    </row>
    <row r="167" spans="2:10" x14ac:dyDescent="0.2">
      <c r="B167" s="66">
        <f ca="1"/>
        <v>15.5</v>
      </c>
      <c r="C167" s="46">
        <f t="shared" ca="1" si="19"/>
        <v>1</v>
      </c>
      <c r="D167" s="46">
        <f t="shared" ca="1" si="20"/>
        <v>470</v>
      </c>
      <c r="E167" s="74">
        <f t="shared" ca="1" si="21"/>
        <v>0.99787234042553197</v>
      </c>
      <c r="F167">
        <f t="shared" ca="1" si="22"/>
        <v>0.54651162790697694</v>
      </c>
      <c r="G167" s="76">
        <f t="shared" ca="1" si="23"/>
        <v>5.4651162790697497E-2</v>
      </c>
      <c r="H167" s="76">
        <f ca="1">SUM($G$4:G167)</f>
        <v>4.9085063953488355</v>
      </c>
      <c r="I167" s="76">
        <f t="shared" ca="1" si="24"/>
        <v>1.8023255813957306E-2</v>
      </c>
      <c r="J167" s="76">
        <f t="shared" ca="1" si="25"/>
        <v>0.10839610800585292</v>
      </c>
    </row>
    <row r="168" spans="2:10" x14ac:dyDescent="0.2">
      <c r="B168" s="66">
        <f ca="1"/>
        <v>15.6</v>
      </c>
      <c r="C168" s="46">
        <f t="shared" ca="1" si="19"/>
        <v>1</v>
      </c>
      <c r="D168" s="46">
        <f t="shared" ca="1" si="20"/>
        <v>471</v>
      </c>
      <c r="E168" s="74">
        <f t="shared" ca="1" si="21"/>
        <v>0.99787685774946921</v>
      </c>
      <c r="F168">
        <f t="shared" ca="1" si="22"/>
        <v>0.54767441860465105</v>
      </c>
      <c r="G168" s="76">
        <f t="shared" ca="1" si="23"/>
        <v>0.10953488372093079</v>
      </c>
      <c r="H168" s="76">
        <f ca="1">SUM($G$4:G168)</f>
        <v>5.0180412790697666</v>
      </c>
      <c r="I168" s="76">
        <f t="shared" ca="1" si="24"/>
        <v>1.8139534883716113E-2</v>
      </c>
      <c r="J168" s="76">
        <f t="shared" ca="1" si="25"/>
        <v>0.10616236747037723</v>
      </c>
    </row>
    <row r="169" spans="2:10" x14ac:dyDescent="0.2">
      <c r="B169" s="66">
        <f ca="1"/>
        <v>15.8</v>
      </c>
      <c r="C169" s="46">
        <f t="shared" ca="1" si="19"/>
        <v>1</v>
      </c>
      <c r="D169" s="46">
        <f t="shared" ca="1" si="20"/>
        <v>472</v>
      </c>
      <c r="E169" s="74">
        <f t="shared" ca="1" si="21"/>
        <v>0.9978813559322034</v>
      </c>
      <c r="F169">
        <f t="shared" ca="1" si="22"/>
        <v>0.54883720930232538</v>
      </c>
      <c r="G169" s="76">
        <f t="shared" ca="1" si="23"/>
        <v>0.10976744186046468</v>
      </c>
      <c r="H169" s="76">
        <f ca="1">SUM($G$4:G169)</f>
        <v>5.127808720930231</v>
      </c>
      <c r="I169" s="76">
        <f t="shared" ca="1" si="24"/>
        <v>1.8372093023254443E-2</v>
      </c>
      <c r="J169" s="76">
        <f t="shared" ca="1" si="25"/>
        <v>0.10176465384140916</v>
      </c>
    </row>
    <row r="170" spans="2:10" x14ac:dyDescent="0.2">
      <c r="B170" s="66">
        <f ca="1"/>
        <v>16</v>
      </c>
      <c r="C170" s="46">
        <f t="shared" ca="1" si="19"/>
        <v>12</v>
      </c>
      <c r="D170" s="46">
        <f t="shared" ca="1" si="20"/>
        <v>484</v>
      </c>
      <c r="E170" s="74">
        <f t="shared" ca="1" si="21"/>
        <v>0.97520661157024791</v>
      </c>
      <c r="F170">
        <f t="shared" ca="1" si="22"/>
        <v>0.56279069767441869</v>
      </c>
      <c r="G170" s="76">
        <f t="shared" ca="1" si="23"/>
        <v>5.6279069767442666E-2</v>
      </c>
      <c r="H170" s="76">
        <f ca="1">SUM($G$4:G170)</f>
        <v>5.1840877906976734</v>
      </c>
      <c r="I170" s="76">
        <f t="shared" ca="1" si="24"/>
        <v>0.22325581395349303</v>
      </c>
      <c r="J170" s="76">
        <f t="shared" ca="1" si="25"/>
        <v>1.1695195616189293</v>
      </c>
    </row>
    <row r="171" spans="2:10" x14ac:dyDescent="0.2">
      <c r="B171" s="66">
        <f ca="1"/>
        <v>16.100000000000001</v>
      </c>
      <c r="C171" s="46">
        <f t="shared" ca="1" si="19"/>
        <v>1</v>
      </c>
      <c r="D171" s="46">
        <f t="shared" ca="1" si="20"/>
        <v>485</v>
      </c>
      <c r="E171" s="74">
        <f t="shared" ca="1" si="21"/>
        <v>0.99793814432989691</v>
      </c>
      <c r="F171">
        <f t="shared" ca="1" si="22"/>
        <v>0.56395348837209291</v>
      </c>
      <c r="G171" s="76">
        <f t="shared" ca="1" si="23"/>
        <v>5.6395348837208092E-2</v>
      </c>
      <c r="H171" s="76">
        <f ca="1">SUM($G$4:G171)</f>
        <v>5.2404831395348817</v>
      </c>
      <c r="I171" s="76">
        <f t="shared" ca="1" si="24"/>
        <v>1.8720930232554958E-2</v>
      </c>
      <c r="J171" s="76">
        <f t="shared" ca="1" si="25"/>
        <v>9.5342502002568733E-2</v>
      </c>
    </row>
    <row r="172" spans="2:10" x14ac:dyDescent="0.2">
      <c r="B172" s="66">
        <f ca="1"/>
        <v>16.2</v>
      </c>
      <c r="C172" s="46">
        <f t="shared" ca="1" si="19"/>
        <v>1</v>
      </c>
      <c r="D172" s="46">
        <f t="shared" ca="1" si="20"/>
        <v>486</v>
      </c>
      <c r="E172" s="74">
        <f t="shared" ca="1" si="21"/>
        <v>0.99794238683127567</v>
      </c>
      <c r="F172">
        <f t="shared" ca="1" si="22"/>
        <v>0.56511627906976769</v>
      </c>
      <c r="G172" s="76">
        <f t="shared" ca="1" si="23"/>
        <v>0.20344186046511606</v>
      </c>
      <c r="H172" s="76">
        <f ca="1">SUM($G$4:G172)</f>
        <v>5.4439249999999975</v>
      </c>
      <c r="I172" s="76">
        <f t="shared" ca="1" si="24"/>
        <v>1.8837209302331369E-2</v>
      </c>
      <c r="J172" s="76">
        <f t="shared" ca="1" si="25"/>
        <v>9.3248296350910018E-2</v>
      </c>
    </row>
    <row r="173" spans="2:10" x14ac:dyDescent="0.2">
      <c r="B173" s="66">
        <f ca="1"/>
        <v>16.559999999999999</v>
      </c>
      <c r="C173" s="46">
        <f t="shared" ca="1" si="19"/>
        <v>1</v>
      </c>
      <c r="D173" s="46">
        <f t="shared" ca="1" si="20"/>
        <v>487</v>
      </c>
      <c r="E173" s="74">
        <f t="shared" ca="1" si="21"/>
        <v>0.99794661190965095</v>
      </c>
      <c r="F173">
        <f t="shared" ca="1" si="22"/>
        <v>0.56627906976744191</v>
      </c>
      <c r="G173" s="76">
        <f t="shared" ca="1" si="23"/>
        <v>0.24916279069767516</v>
      </c>
      <c r="H173" s="76">
        <f ca="1">SUM($G$4:G173)</f>
        <v>5.6930877906976729</v>
      </c>
      <c r="I173" s="76">
        <f t="shared" ca="1" si="24"/>
        <v>1.9255813953485097E-2</v>
      </c>
      <c r="J173" s="76">
        <f t="shared" ca="1" si="25"/>
        <v>8.5901714144268615E-2</v>
      </c>
    </row>
    <row r="174" spans="2:10" x14ac:dyDescent="0.2">
      <c r="B174" s="66">
        <f ca="1"/>
        <v>17</v>
      </c>
      <c r="C174" s="46">
        <f t="shared" ca="1" si="19"/>
        <v>7</v>
      </c>
      <c r="D174" s="46">
        <f t="shared" ca="1" si="20"/>
        <v>494</v>
      </c>
      <c r="E174" s="74">
        <f t="shared" ca="1" si="21"/>
        <v>0.98582995951417007</v>
      </c>
      <c r="F174">
        <f t="shared" ca="1" si="22"/>
        <v>0.57441860465116268</v>
      </c>
      <c r="G174" s="76">
        <f t="shared" ca="1" si="23"/>
        <v>0.1608372093023262</v>
      </c>
      <c r="H174" s="76">
        <f ca="1">SUM($G$4:G174)</f>
        <v>5.8539249999999994</v>
      </c>
      <c r="I174" s="76">
        <f t="shared" ca="1" si="24"/>
        <v>0.13837209302325304</v>
      </c>
      <c r="J174" s="76">
        <f t="shared" ca="1" si="25"/>
        <v>0.54132302307703473</v>
      </c>
    </row>
    <row r="175" spans="2:10" x14ac:dyDescent="0.2">
      <c r="B175" s="66">
        <f ca="1"/>
        <v>17.28</v>
      </c>
      <c r="C175" s="46">
        <f t="shared" ca="1" si="19"/>
        <v>1</v>
      </c>
      <c r="D175" s="46">
        <f t="shared" ca="1" si="20"/>
        <v>495</v>
      </c>
      <c r="E175" s="74">
        <f t="shared" ca="1" si="21"/>
        <v>0.99797979797979797</v>
      </c>
      <c r="F175">
        <f t="shared" ca="1" si="22"/>
        <v>0.57558139534883757</v>
      </c>
      <c r="G175" s="76">
        <f t="shared" ca="1" si="23"/>
        <v>0.2993023255813953</v>
      </c>
      <c r="H175" s="76">
        <f ca="1">SUM($G$4:G175)</f>
        <v>6.153227325581395</v>
      </c>
      <c r="I175" s="76">
        <f t="shared" ca="1" si="24"/>
        <v>2.0093023255822049E-2</v>
      </c>
      <c r="J175" s="76">
        <f t="shared" ca="1" si="25"/>
        <v>7.2112735777627529E-2</v>
      </c>
    </row>
    <row r="176" spans="2:10" x14ac:dyDescent="0.2">
      <c r="B176" s="66">
        <f ca="1"/>
        <v>17.8</v>
      </c>
      <c r="C176" s="46">
        <f t="shared" ca="1" si="19"/>
        <v>2</v>
      </c>
      <c r="D176" s="46">
        <f t="shared" ca="1" si="20"/>
        <v>497</v>
      </c>
      <c r="E176" s="74">
        <f t="shared" ca="1" si="21"/>
        <v>0.99597585513078468</v>
      </c>
      <c r="F176">
        <f t="shared" ca="1" si="22"/>
        <v>0.57790697674418556</v>
      </c>
      <c r="G176" s="76">
        <f t="shared" ca="1" si="23"/>
        <v>0.1155813953488367</v>
      </c>
      <c r="H176" s="76">
        <f ca="1">SUM($G$4:G176)</f>
        <v>6.2688087209302319</v>
      </c>
      <c r="I176" s="76">
        <f t="shared" ca="1" si="24"/>
        <v>4.1395348837194361E-2</v>
      </c>
      <c r="J176" s="76">
        <f t="shared" ca="1" si="25"/>
        <v>0.12580759324255017</v>
      </c>
    </row>
    <row r="177" spans="2:10" x14ac:dyDescent="0.2">
      <c r="B177" s="66">
        <f ca="1"/>
        <v>18</v>
      </c>
      <c r="C177" s="46">
        <f t="shared" ca="1" si="19"/>
        <v>15</v>
      </c>
      <c r="D177" s="46">
        <f t="shared" ca="1" si="20"/>
        <v>512</v>
      </c>
      <c r="E177" s="74">
        <f t="shared" ca="1" si="21"/>
        <v>0.970703125</v>
      </c>
      <c r="F177">
        <f t="shared" ca="1" si="22"/>
        <v>0.59534883720930221</v>
      </c>
      <c r="G177" s="76">
        <f t="shared" ca="1" si="23"/>
        <v>0.42865116279069693</v>
      </c>
      <c r="H177" s="76">
        <f ca="1">SUM($G$4:G177)</f>
        <v>6.6974598837209287</v>
      </c>
      <c r="I177" s="76">
        <f t="shared" ca="1" si="24"/>
        <v>0.31395348837209958</v>
      </c>
      <c r="J177" s="76">
        <f t="shared" ca="1" si="25"/>
        <v>0.89294008209395836</v>
      </c>
    </row>
    <row r="178" spans="2:10" x14ac:dyDescent="0.2">
      <c r="B178" s="66">
        <f ca="1"/>
        <v>18.72</v>
      </c>
      <c r="C178" s="46">
        <f t="shared" ca="1" si="19"/>
        <v>4</v>
      </c>
      <c r="D178" s="46">
        <f t="shared" ca="1" si="20"/>
        <v>516</v>
      </c>
      <c r="E178" s="74">
        <f t="shared" ca="1" si="21"/>
        <v>0.99224806201550386</v>
      </c>
      <c r="F178">
        <f t="shared" ca="1" si="22"/>
        <v>0.6000000000000002</v>
      </c>
      <c r="G178" s="76">
        <f t="shared" ca="1" si="23"/>
        <v>0.16800000000000073</v>
      </c>
      <c r="H178" s="76">
        <f ca="1">SUM($G$4:G178)</f>
        <v>6.8654598837209297</v>
      </c>
      <c r="I178" s="76">
        <f t="shared" ca="1" si="24"/>
        <v>8.7069767441866439E-2</v>
      </c>
      <c r="J178" s="76">
        <f t="shared" ca="1" si="25"/>
        <v>0.19260609292111586</v>
      </c>
    </row>
    <row r="179" spans="2:10" x14ac:dyDescent="0.2">
      <c r="B179" s="66">
        <f ca="1"/>
        <v>19</v>
      </c>
      <c r="C179" s="46">
        <f t="shared" ca="1" si="19"/>
        <v>18</v>
      </c>
      <c r="D179" s="46">
        <f t="shared" ca="1" si="20"/>
        <v>534</v>
      </c>
      <c r="E179" s="74">
        <f t="shared" ca="1" si="21"/>
        <v>0.9662921348314607</v>
      </c>
      <c r="F179">
        <f t="shared" ca="1" si="22"/>
        <v>0.62093023255813939</v>
      </c>
      <c r="G179" s="76">
        <f t="shared" ca="1" si="23"/>
        <v>0.12418604651162744</v>
      </c>
      <c r="H179" s="76">
        <f ca="1">SUM($G$4:G179)</f>
        <v>6.9896459302325571</v>
      </c>
      <c r="I179" s="76">
        <f t="shared" ca="1" si="24"/>
        <v>0.3976744186046447</v>
      </c>
      <c r="J179" s="76">
        <f t="shared" ca="1" si="25"/>
        <v>0.79294317422931859</v>
      </c>
    </row>
    <row r="180" spans="2:10" x14ac:dyDescent="0.2">
      <c r="B180" s="66">
        <f ca="1"/>
        <v>19.2</v>
      </c>
      <c r="C180" s="46">
        <f t="shared" ca="1" si="19"/>
        <v>1</v>
      </c>
      <c r="D180" s="46">
        <f t="shared" ca="1" si="20"/>
        <v>535</v>
      </c>
      <c r="E180" s="74">
        <f t="shared" ca="1" si="21"/>
        <v>0.9981308411214953</v>
      </c>
      <c r="F180">
        <f t="shared" ca="1" si="22"/>
        <v>0.62209302325581339</v>
      </c>
      <c r="G180" s="76">
        <f t="shared" ca="1" si="23"/>
        <v>0.2488372093023267</v>
      </c>
      <c r="H180" s="76">
        <f ca="1">SUM($G$4:G180)</f>
        <v>7.2384831395348836</v>
      </c>
      <c r="I180" s="76">
        <f t="shared" ca="1" si="24"/>
        <v>2.2325581395340775E-2</v>
      </c>
      <c r="J180" s="76">
        <f t="shared" ca="1" si="25"/>
        <v>4.1236080288129882E-2</v>
      </c>
    </row>
    <row r="181" spans="2:10" x14ac:dyDescent="0.2">
      <c r="B181" s="66">
        <f ca="1"/>
        <v>19.600000000000001</v>
      </c>
      <c r="C181" s="46">
        <f t="shared" ca="1" si="19"/>
        <v>2</v>
      </c>
      <c r="D181" s="46">
        <f t="shared" ca="1" si="20"/>
        <v>537</v>
      </c>
      <c r="E181" s="74">
        <f t="shared" ca="1" si="21"/>
        <v>0.9962756052141527</v>
      </c>
      <c r="F181">
        <f t="shared" ca="1" si="22"/>
        <v>0.62441860465116339</v>
      </c>
      <c r="G181" s="76">
        <f t="shared" ca="1" si="23"/>
        <v>0.24976744186046446</v>
      </c>
      <c r="H181" s="76">
        <f ca="1">SUM($G$4:G181)</f>
        <v>7.4882505813953477</v>
      </c>
      <c r="I181" s="76">
        <f t="shared" ca="1" si="24"/>
        <v>4.5581395348859924E-2</v>
      </c>
      <c r="J181" s="76">
        <f t="shared" ca="1" si="25"/>
        <v>7.1765026990603248E-2</v>
      </c>
    </row>
    <row r="182" spans="2:10" x14ac:dyDescent="0.2">
      <c r="B182" s="66">
        <f ca="1"/>
        <v>20</v>
      </c>
      <c r="C182" s="46">
        <f t="shared" ca="1" si="19"/>
        <v>92</v>
      </c>
      <c r="D182" s="46">
        <f t="shared" ca="1" si="20"/>
        <v>629</v>
      </c>
      <c r="E182" s="74">
        <f t="shared" ca="1" si="21"/>
        <v>0.8537360890302067</v>
      </c>
      <c r="F182">
        <f t="shared" ca="1" si="22"/>
        <v>0.73139534883720936</v>
      </c>
      <c r="G182" s="76">
        <f t="shared" ca="1" si="23"/>
        <v>0.11702325581395361</v>
      </c>
      <c r="H182" s="76">
        <f ca="1">SUM($G$4:G182)</f>
        <v>7.6052738372093014</v>
      </c>
      <c r="I182" s="76">
        <f t="shared" ca="1" si="24"/>
        <v>2.1395348837209194</v>
      </c>
      <c r="J182" s="76">
        <f t="shared" ca="1" si="25"/>
        <v>2.8428956547624149</v>
      </c>
    </row>
    <row r="183" spans="2:10" x14ac:dyDescent="0.2">
      <c r="B183" s="66">
        <f ca="1"/>
        <v>20.16</v>
      </c>
      <c r="C183" s="46">
        <f t="shared" ca="1" si="19"/>
        <v>1</v>
      </c>
      <c r="D183" s="46">
        <f t="shared" ca="1" si="20"/>
        <v>630</v>
      </c>
      <c r="E183" s="74">
        <f t="shared" ca="1" si="21"/>
        <v>0.99841269841269842</v>
      </c>
      <c r="F183">
        <f t="shared" ca="1" si="22"/>
        <v>0.73255813953488413</v>
      </c>
      <c r="G183" s="76">
        <f t="shared" ca="1" si="23"/>
        <v>0.24906976744186049</v>
      </c>
      <c r="H183" s="76">
        <f ca="1">SUM($G$4:G183)</f>
        <v>7.8543436046511621</v>
      </c>
      <c r="I183" s="76">
        <f t="shared" ca="1" si="24"/>
        <v>2.3441860465123483E-2</v>
      </c>
      <c r="J183" s="76">
        <f t="shared" ca="1" si="25"/>
        <v>2.9012636264357045E-2</v>
      </c>
    </row>
    <row r="184" spans="2:10" x14ac:dyDescent="0.2">
      <c r="B184" s="66">
        <f ca="1"/>
        <v>20.5</v>
      </c>
      <c r="C184" s="46">
        <f t="shared" ca="1" si="19"/>
        <v>1</v>
      </c>
      <c r="D184" s="46">
        <f t="shared" ca="1" si="20"/>
        <v>631</v>
      </c>
      <c r="E184" s="74">
        <f t="shared" ca="1" si="21"/>
        <v>0.99841521394611732</v>
      </c>
      <c r="F184">
        <f t="shared" ca="1" si="22"/>
        <v>0.73372093023255858</v>
      </c>
      <c r="G184" s="76">
        <f t="shared" ca="1" si="23"/>
        <v>0.36686046511627929</v>
      </c>
      <c r="H184" s="76">
        <f ca="1">SUM($G$4:G184)</f>
        <v>8.2212040697674418</v>
      </c>
      <c r="I184" s="76">
        <f t="shared" ca="1" si="24"/>
        <v>2.3837209302326079E-2</v>
      </c>
      <c r="J184" s="76">
        <f t="shared" ca="1" si="25"/>
        <v>2.5197453327626108E-2</v>
      </c>
    </row>
    <row r="185" spans="2:10" x14ac:dyDescent="0.2">
      <c r="B185" s="66">
        <f ca="1"/>
        <v>21</v>
      </c>
      <c r="C185" s="46">
        <f t="shared" ca="1" si="19"/>
        <v>13</v>
      </c>
      <c r="D185" s="46">
        <f t="shared" ca="1" si="20"/>
        <v>644</v>
      </c>
      <c r="E185" s="74">
        <f t="shared" ca="1" si="21"/>
        <v>0.97981366459627328</v>
      </c>
      <c r="F185">
        <f t="shared" ca="1" si="22"/>
        <v>0.74883720930232578</v>
      </c>
      <c r="G185" s="76">
        <f t="shared" ca="1" si="23"/>
        <v>0.44930232558139388</v>
      </c>
      <c r="H185" s="76">
        <f ca="1">SUM($G$4:G185)</f>
        <v>8.6705063953488359</v>
      </c>
      <c r="I185" s="76">
        <f t="shared" ca="1" si="24"/>
        <v>0.31744186046511125</v>
      </c>
      <c r="J185" s="76">
        <f t="shared" ca="1" si="25"/>
        <v>0.26097840961932323</v>
      </c>
    </row>
    <row r="186" spans="2:10" x14ac:dyDescent="0.2">
      <c r="B186" s="66">
        <f ca="1"/>
        <v>21.599999999999998</v>
      </c>
      <c r="C186" s="46">
        <f t="shared" ca="1" si="19"/>
        <v>2</v>
      </c>
      <c r="D186" s="46">
        <f t="shared" ca="1" si="20"/>
        <v>646</v>
      </c>
      <c r="E186" s="74">
        <f t="shared" ca="1" si="21"/>
        <v>0.99690402476780182</v>
      </c>
      <c r="F186">
        <f t="shared" ca="1" si="22"/>
        <v>0.75116279069767411</v>
      </c>
      <c r="G186" s="76">
        <f t="shared" ca="1" si="23"/>
        <v>0.22534883720930277</v>
      </c>
      <c r="H186" s="76">
        <f ca="1">SUM($G$4:G186)</f>
        <v>8.895855232558139</v>
      </c>
      <c r="I186" s="76">
        <f t="shared" ca="1" si="24"/>
        <v>5.0232558139523938E-2</v>
      </c>
      <c r="J186" s="76">
        <f t="shared" ca="1" si="25"/>
        <v>2.9392149759625567E-2</v>
      </c>
    </row>
    <row r="187" spans="2:10" x14ac:dyDescent="0.2">
      <c r="B187" s="66">
        <f ca="1"/>
        <v>21.9</v>
      </c>
      <c r="C187" s="46">
        <f t="shared" ca="1" si="19"/>
        <v>1</v>
      </c>
      <c r="D187" s="46">
        <f t="shared" ca="1" si="20"/>
        <v>647</v>
      </c>
      <c r="E187" s="74">
        <f t="shared" ca="1" si="21"/>
        <v>0.99845440494590421</v>
      </c>
      <c r="F187">
        <f t="shared" ca="1" si="22"/>
        <v>0.75232558139534866</v>
      </c>
      <c r="G187" s="76">
        <f t="shared" ca="1" si="23"/>
        <v>7.5232558139535929E-2</v>
      </c>
      <c r="H187" s="76">
        <f ca="1">SUM($G$4:G187)</f>
        <v>8.9710877906976751</v>
      </c>
      <c r="I187" s="76">
        <f t="shared" ca="1" si="24"/>
        <v>2.546511627907273E-2</v>
      </c>
      <c r="J187" s="76">
        <f t="shared" ca="1" si="25"/>
        <v>1.2320434668892591E-2</v>
      </c>
    </row>
    <row r="188" spans="2:10" x14ac:dyDescent="0.2">
      <c r="B188" s="66">
        <f ca="1"/>
        <v>22</v>
      </c>
      <c r="C188" s="46">
        <f t="shared" ca="1" si="19"/>
        <v>8</v>
      </c>
      <c r="D188" s="46">
        <f t="shared" ca="1" si="20"/>
        <v>655</v>
      </c>
      <c r="E188" s="74">
        <f t="shared" ca="1" si="21"/>
        <v>0.98778625954198473</v>
      </c>
      <c r="F188">
        <f t="shared" ca="1" si="22"/>
        <v>0.76162790697674465</v>
      </c>
      <c r="G188" s="76">
        <f t="shared" ca="1" si="23"/>
        <v>0.76162790697674465</v>
      </c>
      <c r="H188" s="76">
        <f ca="1">SUM($G$4:G188)</f>
        <v>9.7327156976744202</v>
      </c>
      <c r="I188" s="76">
        <f t="shared" ca="1" si="24"/>
        <v>0.20465116279071172</v>
      </c>
      <c r="J188" s="76">
        <f t="shared" ca="1" si="25"/>
        <v>9.2600529811925153E-2</v>
      </c>
    </row>
    <row r="189" spans="2:10" x14ac:dyDescent="0.2">
      <c r="B189" s="66">
        <f ca="1"/>
        <v>23</v>
      </c>
      <c r="C189" s="46">
        <f t="shared" ca="1" si="19"/>
        <v>8</v>
      </c>
      <c r="D189" s="46">
        <f t="shared" ca="1" si="20"/>
        <v>663</v>
      </c>
      <c r="E189" s="74">
        <f t="shared" ca="1" si="21"/>
        <v>0.98793363499245856</v>
      </c>
      <c r="F189">
        <f t="shared" ca="1" si="22"/>
        <v>0.77093023255813897</v>
      </c>
      <c r="G189" s="76">
        <f t="shared" ca="1" si="23"/>
        <v>3.0837209302324902E-2</v>
      </c>
      <c r="H189" s="76">
        <f ca="1">SUM($G$4:G189)</f>
        <v>9.763552906976745</v>
      </c>
      <c r="I189" s="76">
        <f t="shared" ca="1" si="24"/>
        <v>0.2139534883720694</v>
      </c>
      <c r="J189" s="76">
        <f t="shared" ca="1" si="25"/>
        <v>4.3203612559345156E-2</v>
      </c>
    </row>
    <row r="190" spans="2:10" x14ac:dyDescent="0.2">
      <c r="B190" s="66">
        <f ca="1"/>
        <v>23.04</v>
      </c>
      <c r="C190" s="46">
        <f t="shared" ca="1" si="19"/>
        <v>3</v>
      </c>
      <c r="D190" s="46">
        <f t="shared" ca="1" si="20"/>
        <v>666</v>
      </c>
      <c r="E190" s="74">
        <f t="shared" ca="1" si="21"/>
        <v>0.99549549549549554</v>
      </c>
      <c r="F190">
        <f t="shared" ca="1" si="22"/>
        <v>0.77441860465116275</v>
      </c>
      <c r="G190" s="76">
        <f t="shared" ca="1" si="23"/>
        <v>4.6465116279071524E-2</v>
      </c>
      <c r="H190" s="76">
        <f ca="1">SUM($G$4:G190)</f>
        <v>9.8100180232558163</v>
      </c>
      <c r="I190" s="76">
        <f t="shared" ca="1" si="24"/>
        <v>8.0372093023267727E-2</v>
      </c>
      <c r="J190" s="76">
        <f t="shared" ca="1" si="25"/>
        <v>1.5605517230039782E-2</v>
      </c>
    </row>
    <row r="191" spans="2:10" x14ac:dyDescent="0.2">
      <c r="B191" s="66">
        <f ca="1"/>
        <v>23.1</v>
      </c>
      <c r="C191" s="46">
        <f t="shared" ca="1" si="19"/>
        <v>1</v>
      </c>
      <c r="D191" s="46">
        <f t="shared" ca="1" si="20"/>
        <v>667</v>
      </c>
      <c r="E191" s="74">
        <f t="shared" ca="1" si="21"/>
        <v>0.99850074962518742</v>
      </c>
      <c r="F191">
        <f t="shared" ca="1" si="22"/>
        <v>0.77558139534883674</v>
      </c>
      <c r="G191" s="76">
        <f t="shared" ca="1" si="23"/>
        <v>7.7558139534882026E-2</v>
      </c>
      <c r="H191" s="76">
        <f ca="1">SUM($G$4:G191)</f>
        <v>9.8875761627906975</v>
      </c>
      <c r="I191" s="76">
        <f t="shared" ca="1" si="24"/>
        <v>2.6860465116269373E-2</v>
      </c>
      <c r="J191" s="76">
        <f t="shared" ca="1" si="25"/>
        <v>4.9108970810040359E-3</v>
      </c>
    </row>
    <row r="192" spans="2:10" x14ac:dyDescent="0.2">
      <c r="B192" s="66">
        <f ca="1"/>
        <v>23.2</v>
      </c>
      <c r="C192" s="46">
        <f t="shared" ca="1" si="19"/>
        <v>1</v>
      </c>
      <c r="D192" s="46">
        <f t="shared" ca="1" si="20"/>
        <v>668</v>
      </c>
      <c r="E192" s="74">
        <f t="shared" ca="1" si="21"/>
        <v>0.99850299401197606</v>
      </c>
      <c r="F192">
        <f t="shared" ca="1" si="22"/>
        <v>0.77674418604651185</v>
      </c>
      <c r="G192" s="76">
        <f t="shared" ca="1" si="23"/>
        <v>0.21127441860465279</v>
      </c>
      <c r="H192" s="76">
        <f ca="1">SUM($G$4:G192)</f>
        <v>10.09885058139535</v>
      </c>
      <c r="I192" s="76">
        <f t="shared" ca="1" si="24"/>
        <v>2.6976744186062527E-2</v>
      </c>
      <c r="J192" s="76">
        <f t="shared" ca="1" si="25"/>
        <v>4.4445984060490218E-3</v>
      </c>
    </row>
    <row r="193" spans="2:10" x14ac:dyDescent="0.2">
      <c r="B193" s="66">
        <f ca="1"/>
        <v>23.472000000000001</v>
      </c>
      <c r="C193" s="46">
        <f t="shared" ca="1" si="19"/>
        <v>1</v>
      </c>
      <c r="D193" s="46">
        <f t="shared" ca="1" si="20"/>
        <v>669</v>
      </c>
      <c r="E193" s="74">
        <f t="shared" ca="1" si="21"/>
        <v>0.99850523168908822</v>
      </c>
      <c r="F193">
        <f t="shared" ca="1" si="22"/>
        <v>0.77790697674418607</v>
      </c>
      <c r="G193" s="76">
        <f t="shared" ca="1" si="23"/>
        <v>0.41073488372092926</v>
      </c>
      <c r="H193" s="76">
        <f ca="1">SUM($G$4:G193)</f>
        <v>10.509585465116279</v>
      </c>
      <c r="I193" s="76">
        <f t="shared" ca="1" si="24"/>
        <v>2.7293023255809314E-2</v>
      </c>
      <c r="J193" s="76">
        <f t="shared" ca="1" si="25"/>
        <v>3.2939218241096356E-3</v>
      </c>
    </row>
    <row r="194" spans="2:10" x14ac:dyDescent="0.2">
      <c r="B194" s="66">
        <f ca="1"/>
        <v>24</v>
      </c>
      <c r="C194" s="46">
        <f t="shared" ca="1" si="19"/>
        <v>6</v>
      </c>
      <c r="D194" s="46">
        <f t="shared" ca="1" si="20"/>
        <v>675</v>
      </c>
      <c r="E194" s="74">
        <f t="shared" ca="1" si="21"/>
        <v>0.99111111111111116</v>
      </c>
      <c r="F194">
        <f t="shared" ca="1" si="22"/>
        <v>0.78488372093023195</v>
      </c>
      <c r="G194" s="76">
        <f t="shared" ca="1" si="23"/>
        <v>0.15697674418604585</v>
      </c>
      <c r="H194" s="76">
        <f ca="1">SUM($G$4:G194)</f>
        <v>10.666562209302326</v>
      </c>
      <c r="I194" s="76">
        <f t="shared" ca="1" si="24"/>
        <v>0.16744186046510112</v>
      </c>
      <c r="J194" s="76">
        <f t="shared" ca="1" si="25"/>
        <v>9.3085098521779753E-3</v>
      </c>
    </row>
    <row r="195" spans="2:10" x14ac:dyDescent="0.2">
      <c r="B195" s="66">
        <f ca="1"/>
        <v>24.2</v>
      </c>
      <c r="C195" s="46">
        <f t="shared" ca="1" si="19"/>
        <v>1</v>
      </c>
      <c r="D195" s="46">
        <f t="shared" ca="1" si="20"/>
        <v>676</v>
      </c>
      <c r="E195" s="74">
        <f t="shared" ca="1" si="21"/>
        <v>0.99852071005917165</v>
      </c>
      <c r="F195">
        <f t="shared" ca="1" si="22"/>
        <v>0.78604651162790662</v>
      </c>
      <c r="G195" s="76">
        <f t="shared" ca="1" si="23"/>
        <v>0.15720930232558075</v>
      </c>
      <c r="H195" s="76">
        <f ca="1">SUM($G$4:G195)</f>
        <v>10.823771511627907</v>
      </c>
      <c r="I195" s="76">
        <f t="shared" ca="1" si="24"/>
        <v>2.8139534883726891E-2</v>
      </c>
      <c r="J195" s="76">
        <f t="shared" ca="1" si="25"/>
        <v>1.0606814238941023E-3</v>
      </c>
    </row>
    <row r="196" spans="2:10" x14ac:dyDescent="0.2">
      <c r="B196" s="66">
        <f ca="1"/>
        <v>24.4</v>
      </c>
      <c r="C196" s="46">
        <f t="shared" ref="C196:C259" ca="1" si="26">COUNTIF(RAW_DATA,B196)</f>
        <v>1</v>
      </c>
      <c r="D196" s="46">
        <f t="shared" ca="1" si="20"/>
        <v>677</v>
      </c>
      <c r="E196" s="74">
        <f t="shared" ca="1" si="21"/>
        <v>0.99852289512555392</v>
      </c>
      <c r="F196">
        <f t="shared" ca="1" si="22"/>
        <v>0.78720930232558084</v>
      </c>
      <c r="G196" s="76">
        <f t="shared" ca="1" si="23"/>
        <v>6.2976744186047928E-2</v>
      </c>
      <c r="H196" s="76">
        <f ca="1">SUM($G$4:G196)</f>
        <v>10.886748255813956</v>
      </c>
      <c r="I196" s="76">
        <f t="shared" ca="1" si="24"/>
        <v>2.8372093023250985E-2</v>
      </c>
      <c r="J196" s="76">
        <f t="shared" ca="1" si="25"/>
        <v>6.6296779490512543E-4</v>
      </c>
    </row>
    <row r="197" spans="2:10" x14ac:dyDescent="0.2">
      <c r="B197" s="66">
        <f ca="1"/>
        <v>24.48</v>
      </c>
      <c r="C197" s="46">
        <f t="shared" ca="1" si="26"/>
        <v>1</v>
      </c>
      <c r="D197" s="46">
        <f t="shared" ref="D197:D260" ca="1" si="27">COUNTIF(ALL_DATA,B197)+D196</f>
        <v>678</v>
      </c>
      <c r="E197" s="74">
        <f t="shared" ref="E197:E260" ca="1" si="28">1-C197/D197</f>
        <v>0.99852507374631272</v>
      </c>
      <c r="F197">
        <f t="shared" ref="F197:F260" ca="1" si="29">PRODUCT(E198:E1048)</f>
        <v>0.78837209302325495</v>
      </c>
      <c r="G197" s="76">
        <f t="shared" ref="G197:G260" ca="1" si="30">(B198-B197)*F197</f>
        <v>0.22705116279069482</v>
      </c>
      <c r="H197" s="76">
        <f ca="1">SUM($G$4:G197)</f>
        <v>11.11379941860465</v>
      </c>
      <c r="I197" s="76">
        <f t="shared" ca="1" si="24"/>
        <v>2.8465116279062209E-2</v>
      </c>
      <c r="J197" s="76">
        <f t="shared" ca="1" si="25"/>
        <v>5.2992885493754517E-4</v>
      </c>
    </row>
    <row r="198" spans="2:10" x14ac:dyDescent="0.2">
      <c r="B198" s="66">
        <f ca="1"/>
        <v>24.767999999999997</v>
      </c>
      <c r="C198" s="46">
        <f t="shared" ca="1" si="26"/>
        <v>1</v>
      </c>
      <c r="D198" s="46">
        <f t="shared" ca="1" si="27"/>
        <v>679</v>
      </c>
      <c r="E198" s="74">
        <f t="shared" ca="1" si="28"/>
        <v>0.99852724594992637</v>
      </c>
      <c r="F198">
        <f t="shared" ca="1" si="29"/>
        <v>0.78953488372092984</v>
      </c>
      <c r="G198" s="76">
        <f t="shared" ca="1" si="30"/>
        <v>0.18317209302325799</v>
      </c>
      <c r="H198" s="76">
        <f ca="1">SUM($G$4:G198)</f>
        <v>11.296971511627907</v>
      </c>
      <c r="I198" s="76">
        <f t="shared" ref="I198:I261" ca="1" si="31">B198*(F198-F197)</f>
        <v>2.8800000000011598E-2</v>
      </c>
      <c r="J198" s="76">
        <f t="shared" ref="J198:J261" ca="1" si="32">POWER(B198-$M$3,2)*(F198-F197)</f>
        <v>1.7422588035690808E-4</v>
      </c>
    </row>
    <row r="199" spans="2:10" x14ac:dyDescent="0.2">
      <c r="B199" s="66">
        <f ca="1"/>
        <v>25</v>
      </c>
      <c r="C199" s="46">
        <f t="shared" ca="1" si="26"/>
        <v>6</v>
      </c>
      <c r="D199" s="46">
        <f t="shared" ca="1" si="27"/>
        <v>685</v>
      </c>
      <c r="E199" s="74">
        <f t="shared" ca="1" si="28"/>
        <v>0.99124087591240873</v>
      </c>
      <c r="F199">
        <f t="shared" ca="1" si="29"/>
        <v>0.79651162790697672</v>
      </c>
      <c r="G199" s="76">
        <f t="shared" ca="1" si="30"/>
        <v>7.965116279069881E-2</v>
      </c>
      <c r="H199" s="76">
        <f ca="1">SUM($G$4:G199)</f>
        <v>11.376622674418606</v>
      </c>
      <c r="I199" s="76">
        <f t="shared" ca="1" si="31"/>
        <v>0.17441860465117198</v>
      </c>
      <c r="J199" s="76">
        <f t="shared" ca="1" si="32"/>
        <v>1.6779865693822399E-4</v>
      </c>
    </row>
    <row r="200" spans="2:10" x14ac:dyDescent="0.2">
      <c r="B200" s="66">
        <f ca="1"/>
        <v>25.1</v>
      </c>
      <c r="C200" s="46">
        <f t="shared" ca="1" si="26"/>
        <v>1</v>
      </c>
      <c r="D200" s="46">
        <f t="shared" ca="1" si="27"/>
        <v>686</v>
      </c>
      <c r="E200" s="74">
        <f t="shared" ca="1" si="28"/>
        <v>0.99854227405247808</v>
      </c>
      <c r="F200">
        <f t="shared" ca="1" si="29"/>
        <v>0.79767441860465083</v>
      </c>
      <c r="G200" s="76">
        <f t="shared" ca="1" si="30"/>
        <v>0.65409302325581109</v>
      </c>
      <c r="H200" s="76">
        <f ca="1">SUM($G$4:G200)</f>
        <v>12.030715697674417</v>
      </c>
      <c r="I200" s="76">
        <f t="shared" ca="1" si="31"/>
        <v>2.9186046511620156E-2</v>
      </c>
      <c r="J200" s="76">
        <f t="shared" ca="1" si="32"/>
        <v>3.5282329798773934E-6</v>
      </c>
    </row>
    <row r="201" spans="2:10" x14ac:dyDescent="0.2">
      <c r="B201" s="66">
        <f ca="1"/>
        <v>25.919999999999998</v>
      </c>
      <c r="C201" s="46">
        <f t="shared" ca="1" si="26"/>
        <v>2</v>
      </c>
      <c r="D201" s="46">
        <f t="shared" ca="1" si="27"/>
        <v>688</v>
      </c>
      <c r="E201" s="74">
        <f t="shared" ca="1" si="28"/>
        <v>0.99709302325581395</v>
      </c>
      <c r="F201">
        <f t="shared" ca="1" si="29"/>
        <v>0.79999999999999938</v>
      </c>
      <c r="G201" s="76">
        <f t="shared" ca="1" si="30"/>
        <v>6.4000000000001431E-2</v>
      </c>
      <c r="H201" s="76">
        <f ca="1">SUM($G$4:G201)</f>
        <v>12.094715697674419</v>
      </c>
      <c r="I201" s="76">
        <f t="shared" ca="1" si="31"/>
        <v>6.0279069767434482E-2</v>
      </c>
      <c r="J201" s="76">
        <f t="shared" ca="1" si="32"/>
        <v>1.3606884291829664E-3</v>
      </c>
    </row>
    <row r="202" spans="2:10" x14ac:dyDescent="0.2">
      <c r="B202" s="66">
        <f ca="1"/>
        <v>26</v>
      </c>
      <c r="C202" s="46">
        <f t="shared" ca="1" si="26"/>
        <v>3</v>
      </c>
      <c r="D202" s="46">
        <f t="shared" ca="1" si="27"/>
        <v>691</v>
      </c>
      <c r="E202" s="74">
        <f t="shared" ca="1" si="28"/>
        <v>0.99565846599131691</v>
      </c>
      <c r="F202">
        <f t="shared" ca="1" si="29"/>
        <v>0.80348837209302282</v>
      </c>
      <c r="G202" s="76">
        <f t="shared" ca="1" si="30"/>
        <v>0.80348837209302282</v>
      </c>
      <c r="H202" s="76">
        <f ca="1">SUM($G$4:G202)</f>
        <v>12.898204069767441</v>
      </c>
      <c r="I202" s="76">
        <f t="shared" ca="1" si="31"/>
        <v>9.0697674418609431E-2</v>
      </c>
      <c r="J202" s="76">
        <f t="shared" ca="1" si="32"/>
        <v>2.4902879168954488E-3</v>
      </c>
    </row>
    <row r="203" spans="2:10" x14ac:dyDescent="0.2">
      <c r="B203" s="66">
        <f ca="1"/>
        <v>27</v>
      </c>
      <c r="C203" s="46">
        <f t="shared" ca="1" si="26"/>
        <v>6</v>
      </c>
      <c r="D203" s="46">
        <f t="shared" ca="1" si="27"/>
        <v>697</v>
      </c>
      <c r="E203" s="74">
        <f t="shared" ca="1" si="28"/>
        <v>0.99139167862266853</v>
      </c>
      <c r="F203">
        <f t="shared" ca="1" si="29"/>
        <v>0.8104651162790697</v>
      </c>
      <c r="G203" s="76">
        <f t="shared" ca="1" si="30"/>
        <v>8.1046511627908116E-2</v>
      </c>
      <c r="H203" s="76">
        <f ca="1">SUM($G$4:G203)</f>
        <v>12.97925058139535</v>
      </c>
      <c r="I203" s="76">
        <f t="shared" ca="1" si="31"/>
        <v>0.18837209302326574</v>
      </c>
      <c r="J203" s="76">
        <f t="shared" ca="1" si="32"/>
        <v>2.3746841382737329E-2</v>
      </c>
    </row>
    <row r="204" spans="2:10" x14ac:dyDescent="0.2">
      <c r="B204" s="66">
        <f ca="1"/>
        <v>27.1</v>
      </c>
      <c r="C204" s="46">
        <f t="shared" ca="1" si="26"/>
        <v>1</v>
      </c>
      <c r="D204" s="46">
        <f t="shared" ca="1" si="27"/>
        <v>698</v>
      </c>
      <c r="E204" s="74">
        <f t="shared" ca="1" si="28"/>
        <v>0.99856733524355301</v>
      </c>
      <c r="F204">
        <f t="shared" ca="1" si="29"/>
        <v>0.8116279069767437</v>
      </c>
      <c r="G204" s="76">
        <f t="shared" ca="1" si="30"/>
        <v>0.21102325581395176</v>
      </c>
      <c r="H204" s="76">
        <f ca="1">SUM($G$4:G204)</f>
        <v>13.190273837209302</v>
      </c>
      <c r="I204" s="76">
        <f t="shared" ca="1" si="31"/>
        <v>3.1511627906965371E-2</v>
      </c>
      <c r="J204" s="76">
        <f t="shared" ca="1" si="32"/>
        <v>4.3984849663477078E-3</v>
      </c>
    </row>
    <row r="205" spans="2:10" x14ac:dyDescent="0.2">
      <c r="B205" s="66">
        <f ca="1"/>
        <v>27.36</v>
      </c>
      <c r="C205" s="46">
        <f t="shared" ca="1" si="26"/>
        <v>1</v>
      </c>
      <c r="D205" s="46">
        <f t="shared" ca="1" si="27"/>
        <v>699</v>
      </c>
      <c r="E205" s="74">
        <f t="shared" ca="1" si="28"/>
        <v>0.9985693848354793</v>
      </c>
      <c r="F205">
        <f t="shared" ca="1" si="29"/>
        <v>0.81279069767441847</v>
      </c>
      <c r="G205" s="76">
        <f t="shared" ca="1" si="30"/>
        <v>0.52018604651162825</v>
      </c>
      <c r="H205" s="76">
        <f ca="1">SUM($G$4:G205)</f>
        <v>13.710459883720931</v>
      </c>
      <c r="I205" s="76">
        <f t="shared" ca="1" si="31"/>
        <v>3.1813953488381869E-2</v>
      </c>
      <c r="J205" s="76">
        <f t="shared" ca="1" si="32"/>
        <v>5.6530851556425357E-3</v>
      </c>
    </row>
    <row r="206" spans="2:10" x14ac:dyDescent="0.2">
      <c r="B206" s="66">
        <f ca="1"/>
        <v>28</v>
      </c>
      <c r="C206" s="46">
        <f t="shared" ca="1" si="26"/>
        <v>5</v>
      </c>
      <c r="D206" s="46">
        <f t="shared" ca="1" si="27"/>
        <v>704</v>
      </c>
      <c r="E206" s="74">
        <f t="shared" ca="1" si="28"/>
        <v>0.99289772727272729</v>
      </c>
      <c r="F206">
        <f t="shared" ca="1" si="29"/>
        <v>0.8186046511627908</v>
      </c>
      <c r="G206" s="76">
        <f t="shared" ca="1" si="30"/>
        <v>0.8186046511627908</v>
      </c>
      <c r="H206" s="76">
        <f ca="1">SUM($G$4:G206)</f>
        <v>14.529064534883721</v>
      </c>
      <c r="I206" s="76">
        <f t="shared" ca="1" si="31"/>
        <v>0.16279069767442511</v>
      </c>
      <c r="J206" s="76">
        <f t="shared" ca="1" si="32"/>
        <v>4.7055496086480672E-2</v>
      </c>
    </row>
    <row r="207" spans="2:10" x14ac:dyDescent="0.2">
      <c r="B207" s="66">
        <f ca="1"/>
        <v>29</v>
      </c>
      <c r="C207" s="46">
        <f t="shared" ca="1" si="26"/>
        <v>3</v>
      </c>
      <c r="D207" s="46">
        <f t="shared" ca="1" si="27"/>
        <v>707</v>
      </c>
      <c r="E207" s="74">
        <f t="shared" ca="1" si="28"/>
        <v>0.99575671852899572</v>
      </c>
      <c r="F207">
        <f t="shared" ca="1" si="29"/>
        <v>0.82209302325581401</v>
      </c>
      <c r="G207" s="76">
        <f t="shared" ca="1" si="30"/>
        <v>0.49325581395348955</v>
      </c>
      <c r="H207" s="76">
        <f ca="1">SUM($G$4:G207)</f>
        <v>15.02232034883721</v>
      </c>
      <c r="I207" s="76">
        <f t="shared" ca="1" si="31"/>
        <v>0.10116279069767331</v>
      </c>
      <c r="J207" s="76">
        <f t="shared" ca="1" si="32"/>
        <v>5.1569918798452456E-2</v>
      </c>
    </row>
    <row r="208" spans="2:10" x14ac:dyDescent="0.2">
      <c r="B208" s="66">
        <f ca="1"/>
        <v>29.6</v>
      </c>
      <c r="C208" s="46">
        <f t="shared" ca="1" si="26"/>
        <v>1</v>
      </c>
      <c r="D208" s="46">
        <f t="shared" ca="1" si="27"/>
        <v>708</v>
      </c>
      <c r="E208" s="74">
        <f t="shared" ca="1" si="28"/>
        <v>0.99858757062146897</v>
      </c>
      <c r="F208">
        <f t="shared" ca="1" si="29"/>
        <v>0.82325581395348857</v>
      </c>
      <c r="G208" s="76">
        <f t="shared" ca="1" si="30"/>
        <v>0.17123720930232139</v>
      </c>
      <c r="H208" s="76">
        <f ca="1">SUM($G$4:G208)</f>
        <v>15.193557558139531</v>
      </c>
      <c r="I208" s="76">
        <f t="shared" ca="1" si="31"/>
        <v>3.44186046511668E-2</v>
      </c>
      <c r="J208" s="76">
        <f t="shared" ca="1" si="32"/>
        <v>2.2973576231900949E-2</v>
      </c>
    </row>
    <row r="209" spans="2:10" x14ac:dyDescent="0.2">
      <c r="B209" s="66">
        <f ca="1"/>
        <v>29.807999999999996</v>
      </c>
      <c r="C209" s="46">
        <f t="shared" ca="1" si="26"/>
        <v>1</v>
      </c>
      <c r="D209" s="46">
        <f t="shared" ca="1" si="27"/>
        <v>709</v>
      </c>
      <c r="E209" s="74">
        <f t="shared" ca="1" si="28"/>
        <v>0.99858956276445698</v>
      </c>
      <c r="F209">
        <f t="shared" ca="1" si="29"/>
        <v>0.82441860465116323</v>
      </c>
      <c r="G209" s="76">
        <f t="shared" ca="1" si="30"/>
        <v>0.1582883720930264</v>
      </c>
      <c r="H209" s="76">
        <f ca="1">SUM($G$4:G209)</f>
        <v>15.351845930232559</v>
      </c>
      <c r="I209" s="76">
        <f t="shared" ca="1" si="31"/>
        <v>3.4660465116286406E-2</v>
      </c>
      <c r="J209" s="76">
        <f t="shared" ca="1" si="32"/>
        <v>2.5173981964732115E-2</v>
      </c>
    </row>
    <row r="210" spans="2:10" x14ac:dyDescent="0.2">
      <c r="B210" s="66">
        <f ca="1"/>
        <v>30</v>
      </c>
      <c r="C210" s="46">
        <f t="shared" ca="1" si="26"/>
        <v>8</v>
      </c>
      <c r="D210" s="46">
        <f t="shared" ca="1" si="27"/>
        <v>717</v>
      </c>
      <c r="E210" s="74">
        <f t="shared" ca="1" si="28"/>
        <v>0.98884239888423986</v>
      </c>
      <c r="F210">
        <f t="shared" ca="1" si="29"/>
        <v>0.83372093023255778</v>
      </c>
      <c r="G210" s="76">
        <f t="shared" ca="1" si="30"/>
        <v>0.20009302325581257</v>
      </c>
      <c r="H210" s="76">
        <f ca="1">SUM($G$4:G210)</f>
        <v>15.551938953488371</v>
      </c>
      <c r="I210" s="76">
        <f t="shared" ca="1" si="31"/>
        <v>0.27906976744183631</v>
      </c>
      <c r="J210" s="76">
        <f t="shared" ca="1" si="32"/>
        <v>0.21835542434948851</v>
      </c>
    </row>
    <row r="211" spans="2:10" x14ac:dyDescent="0.2">
      <c r="B211" s="66">
        <f ca="1"/>
        <v>30.24</v>
      </c>
      <c r="C211" s="46">
        <f t="shared" ca="1" si="26"/>
        <v>4</v>
      </c>
      <c r="D211" s="46">
        <f t="shared" ca="1" si="27"/>
        <v>721</v>
      </c>
      <c r="E211" s="74">
        <f t="shared" ca="1" si="28"/>
        <v>0.99445214979195562</v>
      </c>
      <c r="F211">
        <f t="shared" ca="1" si="29"/>
        <v>0.83837209302325555</v>
      </c>
      <c r="G211" s="76">
        <f t="shared" ca="1" si="30"/>
        <v>0.55332558139534882</v>
      </c>
      <c r="H211" s="76">
        <f ca="1">SUM($G$4:G211)</f>
        <v>16.10526453488372</v>
      </c>
      <c r="I211" s="76">
        <f t="shared" ca="1" si="31"/>
        <v>0.14065116279070061</v>
      </c>
      <c r="J211" s="76">
        <f t="shared" ca="1" si="32"/>
        <v>0.12026217512770368</v>
      </c>
    </row>
    <row r="212" spans="2:10" x14ac:dyDescent="0.2">
      <c r="B212" s="66">
        <f ca="1"/>
        <v>30.9</v>
      </c>
      <c r="C212" s="46">
        <f t="shared" ca="1" si="26"/>
        <v>1</v>
      </c>
      <c r="D212" s="46">
        <f t="shared" ca="1" si="27"/>
        <v>722</v>
      </c>
      <c r="E212" s="74">
        <f t="shared" ca="1" si="28"/>
        <v>0.99861495844875348</v>
      </c>
      <c r="F212">
        <f t="shared" ca="1" si="29"/>
        <v>0.83953488372092988</v>
      </c>
      <c r="G212" s="76">
        <f t="shared" ca="1" si="30"/>
        <v>8.3953488372094182E-2</v>
      </c>
      <c r="H212" s="76">
        <f ca="1">SUM($G$4:G212)</f>
        <v>16.189218023255815</v>
      </c>
      <c r="I212" s="76">
        <f t="shared" ca="1" si="31"/>
        <v>3.5930232558136856E-2</v>
      </c>
      <c r="J212" s="76">
        <f t="shared" ca="1" si="32"/>
        <v>3.8376809736492476E-2</v>
      </c>
    </row>
    <row r="213" spans="2:10" x14ac:dyDescent="0.2">
      <c r="B213" s="66">
        <f ca="1"/>
        <v>31</v>
      </c>
      <c r="C213" s="46">
        <f t="shared" ca="1" si="26"/>
        <v>5</v>
      </c>
      <c r="D213" s="46">
        <f t="shared" ca="1" si="27"/>
        <v>727</v>
      </c>
      <c r="E213" s="74">
        <f t="shared" ca="1" si="28"/>
        <v>0.99312242090784042</v>
      </c>
      <c r="F213">
        <f t="shared" ca="1" si="29"/>
        <v>0.84534883720930232</v>
      </c>
      <c r="G213" s="76">
        <f t="shared" ca="1" si="30"/>
        <v>0.57483720930232529</v>
      </c>
      <c r="H213" s="76">
        <f ca="1">SUM($G$4:G213)</f>
        <v>16.764055232558142</v>
      </c>
      <c r="I213" s="76">
        <f t="shared" ca="1" si="31"/>
        <v>0.18023255813954553</v>
      </c>
      <c r="J213" s="76">
        <f t="shared" ca="1" si="32"/>
        <v>0.19862232274955177</v>
      </c>
    </row>
    <row r="214" spans="2:10" x14ac:dyDescent="0.2">
      <c r="B214" s="66">
        <f ca="1"/>
        <v>31.68</v>
      </c>
      <c r="C214" s="46">
        <f t="shared" ca="1" si="26"/>
        <v>1</v>
      </c>
      <c r="D214" s="46">
        <f t="shared" ca="1" si="27"/>
        <v>728</v>
      </c>
      <c r="E214" s="74">
        <f t="shared" ca="1" si="28"/>
        <v>0.99862637362637363</v>
      </c>
      <c r="F214">
        <f t="shared" ca="1" si="29"/>
        <v>0.84651162790697665</v>
      </c>
      <c r="G214" s="76">
        <f t="shared" ca="1" si="30"/>
        <v>0.27088372093023277</v>
      </c>
      <c r="H214" s="76">
        <f ca="1">SUM($G$4:G214)</f>
        <v>17.034938953488375</v>
      </c>
      <c r="I214" s="76">
        <f t="shared" ca="1" si="31"/>
        <v>3.6837209302322836E-2</v>
      </c>
      <c r="J214" s="76">
        <f t="shared" ca="1" si="32"/>
        <v>4.9505261467156898E-2</v>
      </c>
    </row>
    <row r="215" spans="2:10" x14ac:dyDescent="0.2">
      <c r="B215" s="66">
        <f ca="1"/>
        <v>32</v>
      </c>
      <c r="C215" s="46">
        <f t="shared" ca="1" si="26"/>
        <v>3</v>
      </c>
      <c r="D215" s="46">
        <f t="shared" ca="1" si="27"/>
        <v>731</v>
      </c>
      <c r="E215" s="74">
        <f t="shared" ca="1" si="28"/>
        <v>0.99589603283173733</v>
      </c>
      <c r="F215">
        <f t="shared" ca="1" si="29"/>
        <v>0.8499999999999992</v>
      </c>
      <c r="G215" s="76">
        <f t="shared" ca="1" si="30"/>
        <v>0.51000000000000068</v>
      </c>
      <c r="H215" s="76">
        <f ca="1">SUM($G$4:G215)</f>
        <v>17.544938953488376</v>
      </c>
      <c r="I215" s="76">
        <f t="shared" ca="1" si="31"/>
        <v>0.11162790697672165</v>
      </c>
      <c r="J215" s="76">
        <f t="shared" ca="1" si="32"/>
        <v>0.1634402473543963</v>
      </c>
    </row>
    <row r="216" spans="2:10" x14ac:dyDescent="0.2">
      <c r="B216" s="66">
        <f ca="1"/>
        <v>32.6</v>
      </c>
      <c r="C216" s="46">
        <f t="shared" ca="1" si="26"/>
        <v>1</v>
      </c>
      <c r="D216" s="46">
        <f t="shared" ca="1" si="27"/>
        <v>732</v>
      </c>
      <c r="E216" s="74">
        <f t="shared" ca="1" si="28"/>
        <v>0.99863387978142082</v>
      </c>
      <c r="F216">
        <f t="shared" ca="1" si="29"/>
        <v>0.8511627906976742</v>
      </c>
      <c r="G216" s="76">
        <f t="shared" ca="1" si="30"/>
        <v>0.34046511627906845</v>
      </c>
      <c r="H216" s="76">
        <f ca="1">SUM($G$4:G216)</f>
        <v>17.885404069767446</v>
      </c>
      <c r="I216" s="76">
        <f t="shared" ca="1" si="31"/>
        <v>3.7906976744204936E-2</v>
      </c>
      <c r="J216" s="76">
        <f t="shared" ca="1" si="32"/>
        <v>6.4449732262217077E-2</v>
      </c>
    </row>
    <row r="217" spans="2:10" x14ac:dyDescent="0.2">
      <c r="B217" s="66">
        <f ca="1"/>
        <v>33</v>
      </c>
      <c r="C217" s="46">
        <f t="shared" ca="1" si="26"/>
        <v>2</v>
      </c>
      <c r="D217" s="46">
        <f t="shared" ca="1" si="27"/>
        <v>734</v>
      </c>
      <c r="E217" s="74">
        <f t="shared" ca="1" si="28"/>
        <v>0.99727520435967298</v>
      </c>
      <c r="F217">
        <f t="shared" ca="1" si="29"/>
        <v>0.85348837209302342</v>
      </c>
      <c r="G217" s="76">
        <f t="shared" ca="1" si="30"/>
        <v>0.10241860465116062</v>
      </c>
      <c r="H217" s="76">
        <f ca="1">SUM($G$4:G217)</f>
        <v>17.987822674418606</v>
      </c>
      <c r="I217" s="76">
        <f t="shared" ca="1" si="31"/>
        <v>7.6744186046524221E-2</v>
      </c>
      <c r="J217" s="76">
        <f t="shared" ca="1" si="32"/>
        <v>0.14312256349681088</v>
      </c>
    </row>
    <row r="218" spans="2:10" x14ac:dyDescent="0.2">
      <c r="B218" s="66">
        <f ca="1"/>
        <v>33.119999999999997</v>
      </c>
      <c r="C218" s="46">
        <f t="shared" ca="1" si="26"/>
        <v>1</v>
      </c>
      <c r="D218" s="46">
        <f t="shared" ca="1" si="27"/>
        <v>735</v>
      </c>
      <c r="E218" s="74">
        <f t="shared" ca="1" si="28"/>
        <v>0.99863945578231295</v>
      </c>
      <c r="F218">
        <f t="shared" ca="1" si="29"/>
        <v>0.85465116279069753</v>
      </c>
      <c r="G218" s="76">
        <f t="shared" ca="1" si="30"/>
        <v>0.75209302325581606</v>
      </c>
      <c r="H218" s="76">
        <f ca="1">SUM($G$4:G218)</f>
        <v>18.739915697674423</v>
      </c>
      <c r="I218" s="76">
        <f t="shared" ca="1" si="31"/>
        <v>3.8511627906966515E-2</v>
      </c>
      <c r="J218" s="76">
        <f t="shared" ca="1" si="32"/>
        <v>7.3767304733771591E-2</v>
      </c>
    </row>
    <row r="219" spans="2:10" x14ac:dyDescent="0.2">
      <c r="B219" s="66">
        <f ca="1"/>
        <v>34</v>
      </c>
      <c r="C219" s="46">
        <f t="shared" ca="1" si="26"/>
        <v>5</v>
      </c>
      <c r="D219" s="46">
        <f t="shared" ca="1" si="27"/>
        <v>740</v>
      </c>
      <c r="E219" s="74">
        <f t="shared" ca="1" si="28"/>
        <v>0.9932432432432432</v>
      </c>
      <c r="F219">
        <f t="shared" ca="1" si="29"/>
        <v>0.86046511627906974</v>
      </c>
      <c r="G219" s="76">
        <f t="shared" ca="1" si="30"/>
        <v>0.481860465116281</v>
      </c>
      <c r="H219" s="76">
        <f ca="1">SUM($G$4:G219)</f>
        <v>19.221776162790704</v>
      </c>
      <c r="I219" s="76">
        <f t="shared" ca="1" si="31"/>
        <v>0.19767441860465529</v>
      </c>
      <c r="J219" s="76">
        <f t="shared" ca="1" si="32"/>
        <v>0.45484031220330851</v>
      </c>
    </row>
    <row r="220" spans="2:10" x14ac:dyDescent="0.2">
      <c r="B220" s="66">
        <f ca="1"/>
        <v>34.56</v>
      </c>
      <c r="C220" s="46">
        <f t="shared" ca="1" si="26"/>
        <v>2</v>
      </c>
      <c r="D220" s="46">
        <f t="shared" ca="1" si="27"/>
        <v>742</v>
      </c>
      <c r="E220" s="74">
        <f t="shared" ca="1" si="28"/>
        <v>0.99730458221024254</v>
      </c>
      <c r="F220">
        <f t="shared" ca="1" si="29"/>
        <v>0.86279069767441874</v>
      </c>
      <c r="G220" s="76">
        <f t="shared" ca="1" si="30"/>
        <v>0.37962790697674226</v>
      </c>
      <c r="H220" s="76">
        <f ca="1">SUM($G$4:G220)</f>
        <v>19.601404069767447</v>
      </c>
      <c r="I220" s="76">
        <f t="shared" ca="1" si="31"/>
        <v>8.0372093023261329E-2</v>
      </c>
      <c r="J220" s="76">
        <f t="shared" ca="1" si="32"/>
        <v>0.20570334716364858</v>
      </c>
    </row>
    <row r="221" spans="2:10" x14ac:dyDescent="0.2">
      <c r="B221" s="66">
        <f ca="1"/>
        <v>35</v>
      </c>
      <c r="C221" s="46">
        <f t="shared" ca="1" si="26"/>
        <v>5</v>
      </c>
      <c r="D221" s="46">
        <f t="shared" ca="1" si="27"/>
        <v>747</v>
      </c>
      <c r="E221" s="74">
        <f t="shared" ca="1" si="28"/>
        <v>0.99330655957161984</v>
      </c>
      <c r="F221">
        <f t="shared" ca="1" si="29"/>
        <v>0.86860465116279029</v>
      </c>
      <c r="G221" s="76">
        <f t="shared" ca="1" si="30"/>
        <v>0.52116279069767546</v>
      </c>
      <c r="H221" s="76">
        <f ca="1">SUM($G$4:G221)</f>
        <v>20.122566860465124</v>
      </c>
      <c r="I221" s="76">
        <f t="shared" ca="1" si="31"/>
        <v>0.20348837209300419</v>
      </c>
      <c r="J221" s="76">
        <f t="shared" ca="1" si="32"/>
        <v>0.56350212264132093</v>
      </c>
    </row>
    <row r="222" spans="2:10" x14ac:dyDescent="0.2">
      <c r="B222" s="66">
        <f ca="1"/>
        <v>35.6</v>
      </c>
      <c r="C222" s="46">
        <f t="shared" ca="1" si="26"/>
        <v>1</v>
      </c>
      <c r="D222" s="46">
        <f t="shared" ca="1" si="27"/>
        <v>748</v>
      </c>
      <c r="E222" s="74">
        <f t="shared" ca="1" si="28"/>
        <v>0.99866310160427807</v>
      </c>
      <c r="F222">
        <f t="shared" ca="1" si="29"/>
        <v>0.86976744186046451</v>
      </c>
      <c r="G222" s="76">
        <f t="shared" ca="1" si="30"/>
        <v>0.34790697674418458</v>
      </c>
      <c r="H222" s="76">
        <f ca="1">SUM($G$4:G222)</f>
        <v>20.470473837209308</v>
      </c>
      <c r="I222" s="76">
        <f t="shared" ca="1" si="31"/>
        <v>4.1395348837202264E-2</v>
      </c>
      <c r="J222" s="76">
        <f t="shared" ca="1" si="32"/>
        <v>0.12685612085058959</v>
      </c>
    </row>
    <row r="223" spans="2:10" x14ac:dyDescent="0.2">
      <c r="B223" s="66">
        <f ca="1"/>
        <v>36</v>
      </c>
      <c r="C223" s="46">
        <f t="shared" ca="1" si="26"/>
        <v>7</v>
      </c>
      <c r="D223" s="46">
        <f t="shared" ca="1" si="27"/>
        <v>755</v>
      </c>
      <c r="E223" s="74">
        <f t="shared" ca="1" si="28"/>
        <v>0.99072847682119203</v>
      </c>
      <c r="F223">
        <f t="shared" ca="1" si="29"/>
        <v>0.87790697674418572</v>
      </c>
      <c r="G223" s="76">
        <f t="shared" ca="1" si="30"/>
        <v>0.87790697674418572</v>
      </c>
      <c r="H223" s="76">
        <f ca="1">SUM($G$4:G223)</f>
        <v>21.348380813953494</v>
      </c>
      <c r="I223" s="76">
        <f t="shared" ca="1" si="31"/>
        <v>0.2930232558139636</v>
      </c>
      <c r="J223" s="76">
        <f t="shared" ca="1" si="32"/>
        <v>0.95730857607870268</v>
      </c>
    </row>
    <row r="224" spans="2:10" x14ac:dyDescent="0.2">
      <c r="B224" s="66">
        <f ca="1"/>
        <v>37</v>
      </c>
      <c r="C224" s="46">
        <f t="shared" ca="1" si="26"/>
        <v>3</v>
      </c>
      <c r="D224" s="46">
        <f t="shared" ca="1" si="27"/>
        <v>758</v>
      </c>
      <c r="E224" s="74">
        <f t="shared" ca="1" si="28"/>
        <v>0.99604221635883905</v>
      </c>
      <c r="F224">
        <f t="shared" ca="1" si="29"/>
        <v>0.88139534883720927</v>
      </c>
      <c r="G224" s="76">
        <f t="shared" ca="1" si="30"/>
        <v>1.6570232558139495</v>
      </c>
      <c r="H224" s="76">
        <f ca="1">SUM($G$4:G224)</f>
        <v>23.005404069767444</v>
      </c>
      <c r="I224" s="76">
        <f t="shared" ca="1" si="31"/>
        <v>0.12906976744187137</v>
      </c>
      <c r="J224" s="76">
        <f t="shared" ca="1" si="32"/>
        <v>0.4894256786686948</v>
      </c>
    </row>
    <row r="225" spans="2:10" x14ac:dyDescent="0.2">
      <c r="B225" s="66">
        <f ca="1"/>
        <v>38.879999999999995</v>
      </c>
      <c r="C225" s="46">
        <f t="shared" ca="1" si="26"/>
        <v>1</v>
      </c>
      <c r="D225" s="46">
        <f t="shared" ca="1" si="27"/>
        <v>759</v>
      </c>
      <c r="E225" s="74">
        <f t="shared" ca="1" si="28"/>
        <v>0.99868247694334655</v>
      </c>
      <c r="F225">
        <f t="shared" ca="1" si="29"/>
        <v>0.88255813953488338</v>
      </c>
      <c r="G225" s="76">
        <f t="shared" ca="1" si="30"/>
        <v>0.10590697674419002</v>
      </c>
      <c r="H225" s="76">
        <f ca="1">SUM($G$4:G225)</f>
        <v>23.111311046511634</v>
      </c>
      <c r="I225" s="76">
        <f t="shared" ca="1" si="31"/>
        <v>4.5209302325569384E-2</v>
      </c>
      <c r="J225" s="76">
        <f t="shared" ca="1" si="32"/>
        <v>0.21903873361420889</v>
      </c>
    </row>
    <row r="226" spans="2:10" x14ac:dyDescent="0.2">
      <c r="B226" s="66">
        <f ca="1"/>
        <v>39</v>
      </c>
      <c r="C226" s="46">
        <f t="shared" ca="1" si="26"/>
        <v>1</v>
      </c>
      <c r="D226" s="46">
        <f t="shared" ca="1" si="27"/>
        <v>760</v>
      </c>
      <c r="E226" s="74">
        <f t="shared" ca="1" si="28"/>
        <v>0.99868421052631584</v>
      </c>
      <c r="F226">
        <f t="shared" ca="1" si="29"/>
        <v>0.8837209302325576</v>
      </c>
      <c r="G226" s="76">
        <f t="shared" ca="1" si="30"/>
        <v>0.8837209302325576</v>
      </c>
      <c r="H226" s="76">
        <f ca="1">SUM($G$4:G226)</f>
        <v>23.99503197674419</v>
      </c>
      <c r="I226" s="76">
        <f t="shared" ca="1" si="31"/>
        <v>4.5348837209294612E-2</v>
      </c>
      <c r="J226" s="76">
        <f t="shared" ca="1" si="32"/>
        <v>0.22288568683218496</v>
      </c>
    </row>
    <row r="227" spans="2:10" x14ac:dyDescent="0.2">
      <c r="B227" s="66">
        <f ca="1"/>
        <v>40</v>
      </c>
      <c r="C227" s="46">
        <f t="shared" ca="1" si="26"/>
        <v>3</v>
      </c>
      <c r="D227" s="46">
        <f t="shared" ca="1" si="27"/>
        <v>763</v>
      </c>
      <c r="E227" s="74">
        <f t="shared" ca="1" si="28"/>
        <v>0.99606815203145482</v>
      </c>
      <c r="F227">
        <f t="shared" ca="1" si="29"/>
        <v>0.88720930232558104</v>
      </c>
      <c r="G227" s="76">
        <f t="shared" ca="1" si="30"/>
        <v>1.3308139534883716</v>
      </c>
      <c r="H227" s="76">
        <f ca="1">SUM($G$4:G227)</f>
        <v>25.32584593023256</v>
      </c>
      <c r="I227" s="76">
        <f t="shared" ca="1" si="31"/>
        <v>0.13953488372093759</v>
      </c>
      <c r="J227" s="76">
        <f t="shared" ca="1" si="32"/>
        <v>0.76873786768978658</v>
      </c>
    </row>
    <row r="228" spans="2:10" x14ac:dyDescent="0.2">
      <c r="B228" s="66">
        <f ca="1"/>
        <v>41.5</v>
      </c>
      <c r="C228" s="46">
        <f t="shared" ca="1" si="26"/>
        <v>1</v>
      </c>
      <c r="D228" s="46">
        <f t="shared" ca="1" si="27"/>
        <v>764</v>
      </c>
      <c r="E228" s="74">
        <f t="shared" ca="1" si="28"/>
        <v>0.99869109947643975</v>
      </c>
      <c r="F228">
        <f t="shared" ca="1" si="29"/>
        <v>0.88837209302325582</v>
      </c>
      <c r="G228" s="76">
        <f t="shared" ca="1" si="30"/>
        <v>0.44418604651162791</v>
      </c>
      <c r="H228" s="76">
        <f ca="1">SUM($G$4:G228)</f>
        <v>25.770031976744189</v>
      </c>
      <c r="I228" s="76">
        <f t="shared" ca="1" si="31"/>
        <v>4.8255813953503202E-2</v>
      </c>
      <c r="J228" s="76">
        <f t="shared" ca="1" si="32"/>
        <v>0.31064682460949522</v>
      </c>
    </row>
    <row r="229" spans="2:10" x14ac:dyDescent="0.2">
      <c r="B229" s="66">
        <f ca="1"/>
        <v>42</v>
      </c>
      <c r="C229" s="46">
        <f t="shared" ca="1" si="26"/>
        <v>2</v>
      </c>
      <c r="D229" s="46">
        <f t="shared" ca="1" si="27"/>
        <v>766</v>
      </c>
      <c r="E229" s="74">
        <f t="shared" ca="1" si="28"/>
        <v>0.99738903394255873</v>
      </c>
      <c r="F229">
        <f t="shared" ca="1" si="29"/>
        <v>0.89069767441860426</v>
      </c>
      <c r="G229" s="76">
        <f t="shared" ca="1" si="30"/>
        <v>0.17813953488372339</v>
      </c>
      <c r="H229" s="76">
        <f ca="1">SUM($G$4:G229)</f>
        <v>25.948171511627912</v>
      </c>
      <c r="I229" s="76">
        <f t="shared" ca="1" si="31"/>
        <v>9.767441860463455E-2</v>
      </c>
      <c r="J229" s="76">
        <f t="shared" ca="1" si="32"/>
        <v>0.65988647642258125</v>
      </c>
    </row>
    <row r="230" spans="2:10" x14ac:dyDescent="0.2">
      <c r="B230" s="66">
        <f ca="1"/>
        <v>42.2</v>
      </c>
      <c r="C230" s="46">
        <f t="shared" ca="1" si="26"/>
        <v>1</v>
      </c>
      <c r="D230" s="46">
        <f t="shared" ca="1" si="27"/>
        <v>767</v>
      </c>
      <c r="E230" s="74">
        <f t="shared" ca="1" si="28"/>
        <v>0.99869621903520212</v>
      </c>
      <c r="F230">
        <f t="shared" ca="1" si="29"/>
        <v>0.89186046511627914</v>
      </c>
      <c r="G230" s="76">
        <f t="shared" ca="1" si="30"/>
        <v>0.71348837209302074</v>
      </c>
      <c r="H230" s="76">
        <f ca="1">SUM($G$4:G230)</f>
        <v>26.661659883720933</v>
      </c>
      <c r="I230" s="76">
        <f t="shared" ca="1" si="31"/>
        <v>4.9069767441880234E-2</v>
      </c>
      <c r="J230" s="76">
        <f t="shared" ca="1" si="32"/>
        <v>0.33782459434993611</v>
      </c>
    </row>
    <row r="231" spans="2:10" x14ac:dyDescent="0.2">
      <c r="B231" s="66">
        <f ca="1"/>
        <v>43</v>
      </c>
      <c r="C231" s="46">
        <f t="shared" ca="1" si="26"/>
        <v>1</v>
      </c>
      <c r="D231" s="46">
        <f t="shared" ca="1" si="27"/>
        <v>768</v>
      </c>
      <c r="E231" s="74">
        <f t="shared" ca="1" si="28"/>
        <v>0.99869791666666663</v>
      </c>
      <c r="F231">
        <f t="shared" ca="1" si="29"/>
        <v>0.89302325581395314</v>
      </c>
      <c r="G231" s="76">
        <f t="shared" ca="1" si="30"/>
        <v>0.17860465116278681</v>
      </c>
      <c r="H231" s="76">
        <f ca="1">SUM($G$4:G231)</f>
        <v>26.840264534883719</v>
      </c>
      <c r="I231" s="76">
        <f t="shared" ca="1" si="31"/>
        <v>4.9999999999981948E-2</v>
      </c>
      <c r="J231" s="76">
        <f t="shared" ca="1" si="32"/>
        <v>0.37028025146161869</v>
      </c>
    </row>
    <row r="232" spans="2:10" x14ac:dyDescent="0.2">
      <c r="B232" s="66">
        <f ca="1"/>
        <v>43.199999999999996</v>
      </c>
      <c r="C232" s="46">
        <f t="shared" ca="1" si="26"/>
        <v>1</v>
      </c>
      <c r="D232" s="46">
        <f t="shared" ca="1" si="27"/>
        <v>769</v>
      </c>
      <c r="E232" s="74">
        <f t="shared" ca="1" si="28"/>
        <v>0.99869960988296491</v>
      </c>
      <c r="F232">
        <f t="shared" ca="1" si="29"/>
        <v>0.89418604651162747</v>
      </c>
      <c r="G232" s="76">
        <f t="shared" ca="1" si="30"/>
        <v>0.71534883720930575</v>
      </c>
      <c r="H232" s="76">
        <f ca="1">SUM($G$4:G232)</f>
        <v>27.555613372093024</v>
      </c>
      <c r="I232" s="76">
        <f t="shared" ca="1" si="31"/>
        <v>5.0232558139531133E-2</v>
      </c>
      <c r="J232" s="76">
        <f t="shared" ca="1" si="32"/>
        <v>0.3786267238792469</v>
      </c>
    </row>
    <row r="233" spans="2:10" x14ac:dyDescent="0.2">
      <c r="B233" s="66">
        <f ca="1"/>
        <v>44</v>
      </c>
      <c r="C233" s="46">
        <f t="shared" ca="1" si="26"/>
        <v>2</v>
      </c>
      <c r="D233" s="46">
        <f t="shared" ca="1" si="27"/>
        <v>771</v>
      </c>
      <c r="E233" s="74">
        <f t="shared" ca="1" si="28"/>
        <v>0.99740596627756162</v>
      </c>
      <c r="F233">
        <f t="shared" ca="1" si="29"/>
        <v>0.89651162790697647</v>
      </c>
      <c r="G233" s="76">
        <f t="shared" ca="1" si="30"/>
        <v>0.57376744186046547</v>
      </c>
      <c r="H233" s="76">
        <f ca="1">SUM($G$4:G233)</f>
        <v>28.129380813953489</v>
      </c>
      <c r="I233" s="76">
        <f t="shared" ca="1" si="31"/>
        <v>0.10232558139535586</v>
      </c>
      <c r="J233" s="76">
        <f t="shared" ca="1" si="32"/>
        <v>0.82588569221507036</v>
      </c>
    </row>
    <row r="234" spans="2:10" x14ac:dyDescent="0.2">
      <c r="B234" s="66">
        <f ca="1"/>
        <v>44.64</v>
      </c>
      <c r="C234" s="46">
        <f t="shared" ca="1" si="26"/>
        <v>2</v>
      </c>
      <c r="D234" s="46">
        <f t="shared" ca="1" si="27"/>
        <v>773</v>
      </c>
      <c r="E234" s="74">
        <f t="shared" ca="1" si="28"/>
        <v>0.99741267787839583</v>
      </c>
      <c r="F234">
        <f t="shared" ca="1" si="29"/>
        <v>0.89883720930232514</v>
      </c>
      <c r="G234" s="76">
        <f t="shared" ca="1" si="30"/>
        <v>0.32358139534883656</v>
      </c>
      <c r="H234" s="76">
        <f ca="1">SUM($G$4:G234)</f>
        <v>28.452962209302324</v>
      </c>
      <c r="I234" s="76">
        <f t="shared" ca="1" si="31"/>
        <v>0.10381395348836435</v>
      </c>
      <c r="J234" s="76">
        <f t="shared" ca="1" si="32"/>
        <v>0.88293474359407176</v>
      </c>
    </row>
    <row r="235" spans="2:10" x14ac:dyDescent="0.2">
      <c r="B235" s="66">
        <f ca="1"/>
        <v>45</v>
      </c>
      <c r="C235" s="46">
        <f t="shared" ca="1" si="26"/>
        <v>1</v>
      </c>
      <c r="D235" s="46">
        <f t="shared" ca="1" si="27"/>
        <v>774</v>
      </c>
      <c r="E235" s="74">
        <f t="shared" ca="1" si="28"/>
        <v>0.99870801033591727</v>
      </c>
      <c r="F235">
        <f t="shared" ca="1" si="29"/>
        <v>0.89999999999999969</v>
      </c>
      <c r="G235" s="76">
        <f t="shared" ca="1" si="30"/>
        <v>0.97199999999999809</v>
      </c>
      <c r="H235" s="76">
        <f ca="1">SUM($G$4:G235)</f>
        <v>29.424962209302322</v>
      </c>
      <c r="I235" s="76">
        <f t="shared" ca="1" si="31"/>
        <v>5.2325581395354925E-2</v>
      </c>
      <c r="J235" s="76">
        <f t="shared" ca="1" si="32"/>
        <v>0.45793102214866344</v>
      </c>
    </row>
    <row r="236" spans="2:10" x14ac:dyDescent="0.2">
      <c r="B236" s="66">
        <f ca="1"/>
        <v>46.08</v>
      </c>
      <c r="C236" s="46">
        <f t="shared" ca="1" si="26"/>
        <v>1</v>
      </c>
      <c r="D236" s="46">
        <f t="shared" ca="1" si="27"/>
        <v>775</v>
      </c>
      <c r="E236" s="74">
        <f t="shared" ca="1" si="28"/>
        <v>0.99870967741935479</v>
      </c>
      <c r="F236">
        <f t="shared" ca="1" si="29"/>
        <v>0.90116279069767447</v>
      </c>
      <c r="G236" s="76">
        <f t="shared" ca="1" si="30"/>
        <v>0.64883720930232458</v>
      </c>
      <c r="H236" s="76">
        <f ca="1">SUM($G$4:G236)</f>
        <v>30.073799418604647</v>
      </c>
      <c r="I236" s="76">
        <f t="shared" ca="1" si="31"/>
        <v>5.3581395348853672E-2</v>
      </c>
      <c r="J236" s="76">
        <f t="shared" ca="1" si="32"/>
        <v>0.50913034529641388</v>
      </c>
    </row>
    <row r="237" spans="2:10" x14ac:dyDescent="0.2">
      <c r="B237" s="66">
        <f ca="1"/>
        <v>46.8</v>
      </c>
      <c r="C237" s="46">
        <f t="shared" ca="1" si="26"/>
        <v>1</v>
      </c>
      <c r="D237" s="46">
        <f t="shared" ca="1" si="27"/>
        <v>776</v>
      </c>
      <c r="E237" s="74">
        <f t="shared" ca="1" si="28"/>
        <v>0.99871134020618557</v>
      </c>
      <c r="F237">
        <f t="shared" ca="1" si="29"/>
        <v>0.90232558139534902</v>
      </c>
      <c r="G237" s="76">
        <f t="shared" ca="1" si="30"/>
        <v>0.18046511627907236</v>
      </c>
      <c r="H237" s="76">
        <f ca="1">SUM($G$4:G237)</f>
        <v>30.25426453488372</v>
      </c>
      <c r="I237" s="76">
        <f t="shared" ca="1" si="31"/>
        <v>5.4418604651169121E-2</v>
      </c>
      <c r="J237" s="76">
        <f t="shared" ca="1" si="32"/>
        <v>0.5447702041389384</v>
      </c>
    </row>
    <row r="238" spans="2:10" x14ac:dyDescent="0.2">
      <c r="B238" s="66">
        <f ca="1"/>
        <v>47</v>
      </c>
      <c r="C238" s="46">
        <f t="shared" ca="1" si="26"/>
        <v>2</v>
      </c>
      <c r="D238" s="46">
        <f t="shared" ca="1" si="27"/>
        <v>778</v>
      </c>
      <c r="E238" s="74">
        <f t="shared" ca="1" si="28"/>
        <v>0.99742930591259638</v>
      </c>
      <c r="F238">
        <f t="shared" ca="1" si="29"/>
        <v>0.90465116279069724</v>
      </c>
      <c r="G238" s="76">
        <f t="shared" ca="1" si="30"/>
        <v>0.90465116279069724</v>
      </c>
      <c r="H238" s="76">
        <f ca="1">SUM($G$4:G238)</f>
        <v>31.158915697674416</v>
      </c>
      <c r="I238" s="76">
        <f t="shared" ca="1" si="31"/>
        <v>0.10930232558136632</v>
      </c>
      <c r="J238" s="76">
        <f t="shared" ca="1" si="32"/>
        <v>1.1097682368334318</v>
      </c>
    </row>
    <row r="239" spans="2:10" x14ac:dyDescent="0.2">
      <c r="B239" s="66">
        <f ca="1"/>
        <v>48</v>
      </c>
      <c r="C239" s="46">
        <f t="shared" ca="1" si="26"/>
        <v>2</v>
      </c>
      <c r="D239" s="46">
        <f t="shared" ca="1" si="27"/>
        <v>780</v>
      </c>
      <c r="E239" s="74">
        <f t="shared" ca="1" si="28"/>
        <v>0.99743589743589745</v>
      </c>
      <c r="F239">
        <f t="shared" ca="1" si="29"/>
        <v>0.90697674418604668</v>
      </c>
      <c r="G239" s="76">
        <f t="shared" ca="1" si="30"/>
        <v>2.1767441860465109</v>
      </c>
      <c r="H239" s="76">
        <f ca="1">SUM($G$4:G239)</f>
        <v>33.335659883720929</v>
      </c>
      <c r="I239" s="76">
        <f t="shared" ca="1" si="31"/>
        <v>0.11162790697677316</v>
      </c>
      <c r="J239" s="76">
        <f t="shared" ca="1" si="32"/>
        <v>1.2136980772883414</v>
      </c>
    </row>
    <row r="240" spans="2:10" x14ac:dyDescent="0.2">
      <c r="B240" s="66">
        <f ca="1"/>
        <v>50.4</v>
      </c>
      <c r="C240" s="46">
        <f t="shared" ca="1" si="26"/>
        <v>1</v>
      </c>
      <c r="D240" s="46">
        <f t="shared" ca="1" si="27"/>
        <v>781</v>
      </c>
      <c r="E240" s="74">
        <f t="shared" ca="1" si="28"/>
        <v>0.99871959026888601</v>
      </c>
      <c r="F240">
        <f t="shared" ca="1" si="29"/>
        <v>0.90813953488372123</v>
      </c>
      <c r="G240" s="76">
        <f t="shared" ca="1" si="30"/>
        <v>1.4530232558139553</v>
      </c>
      <c r="H240" s="76">
        <f ca="1">SUM($G$4:G240)</f>
        <v>34.788683139534882</v>
      </c>
      <c r="I240" s="76">
        <f t="shared" ca="1" si="31"/>
        <v>5.8604651162797512E-2</v>
      </c>
      <c r="J240" s="76">
        <f t="shared" ca="1" si="32"/>
        <v>0.74105321928228207</v>
      </c>
    </row>
    <row r="241" spans="2:10" x14ac:dyDescent="0.2">
      <c r="B241" s="66">
        <f ca="1"/>
        <v>52</v>
      </c>
      <c r="C241" s="46">
        <f t="shared" ca="1" si="26"/>
        <v>1</v>
      </c>
      <c r="D241" s="46">
        <f t="shared" ca="1" si="27"/>
        <v>782</v>
      </c>
      <c r="E241" s="74">
        <f t="shared" ca="1" si="28"/>
        <v>0.99872122762148341</v>
      </c>
      <c r="F241">
        <f t="shared" ca="1" si="29"/>
        <v>0.9093023255813949</v>
      </c>
      <c r="G241" s="76">
        <f t="shared" ca="1" si="30"/>
        <v>1.8186046511627898</v>
      </c>
      <c r="H241" s="76">
        <f ca="1">SUM($G$4:G241)</f>
        <v>36.607287790697669</v>
      </c>
      <c r="I241" s="76">
        <f t="shared" ca="1" si="31"/>
        <v>6.0465116279030617E-2</v>
      </c>
      <c r="J241" s="76">
        <f t="shared" ca="1" si="32"/>
        <v>0.83796453350555822</v>
      </c>
    </row>
    <row r="242" spans="2:10" x14ac:dyDescent="0.2">
      <c r="B242" s="66">
        <f ca="1"/>
        <v>54</v>
      </c>
      <c r="C242" s="46">
        <f t="shared" ca="1" si="26"/>
        <v>2</v>
      </c>
      <c r="D242" s="46">
        <f t="shared" ca="1" si="27"/>
        <v>784</v>
      </c>
      <c r="E242" s="74">
        <f t="shared" ca="1" si="28"/>
        <v>0.99744897959183676</v>
      </c>
      <c r="F242">
        <f t="shared" ca="1" si="29"/>
        <v>0.91162790697674401</v>
      </c>
      <c r="G242" s="76">
        <f t="shared" ca="1" si="30"/>
        <v>1.823255813953488</v>
      </c>
      <c r="H242" s="76">
        <f ca="1">SUM($G$4:G242)</f>
        <v>38.430543604651156</v>
      </c>
      <c r="I242" s="76">
        <f t="shared" ca="1" si="31"/>
        <v>0.12558139534885182</v>
      </c>
      <c r="J242" s="76">
        <f t="shared" ca="1" si="32"/>
        <v>1.9349515386187004</v>
      </c>
    </row>
    <row r="243" spans="2:10" x14ac:dyDescent="0.2">
      <c r="B243" s="66">
        <f ca="1"/>
        <v>56</v>
      </c>
      <c r="C243" s="46">
        <f t="shared" ca="1" si="26"/>
        <v>1</v>
      </c>
      <c r="D243" s="46">
        <f t="shared" ca="1" si="27"/>
        <v>785</v>
      </c>
      <c r="E243" s="74">
        <f t="shared" ca="1" si="28"/>
        <v>0.99872611464968153</v>
      </c>
      <c r="F243">
        <f t="shared" ca="1" si="29"/>
        <v>0.91279069767441856</v>
      </c>
      <c r="G243" s="76">
        <f t="shared" ca="1" si="30"/>
        <v>0.14604651162790386</v>
      </c>
      <c r="H243" s="76">
        <f ca="1">SUM($G$4:G243)</f>
        <v>38.576590116279057</v>
      </c>
      <c r="I243" s="76">
        <f t="shared" ca="1" si="31"/>
        <v>6.5116279069775018E-2</v>
      </c>
      <c r="J243" s="76">
        <f t="shared" ca="1" si="32"/>
        <v>1.1062893306938986</v>
      </c>
    </row>
    <row r="244" spans="2:10" x14ac:dyDescent="0.2">
      <c r="B244" s="66">
        <f ca="1"/>
        <v>56.16</v>
      </c>
      <c r="C244" s="46">
        <f t="shared" ca="1" si="26"/>
        <v>1</v>
      </c>
      <c r="D244" s="46">
        <f t="shared" ca="1" si="27"/>
        <v>786</v>
      </c>
      <c r="E244" s="74">
        <f t="shared" ca="1" si="28"/>
        <v>0.99872773536895676</v>
      </c>
      <c r="F244">
        <f t="shared" ca="1" si="29"/>
        <v>0.91395348837209278</v>
      </c>
      <c r="G244" s="76">
        <f t="shared" ca="1" si="30"/>
        <v>1.6816744186046539</v>
      </c>
      <c r="H244" s="76">
        <f ca="1">SUM($G$4:G244)</f>
        <v>40.258264534883708</v>
      </c>
      <c r="I244" s="76">
        <f t="shared" ca="1" si="31"/>
        <v>6.5302325581384241E-2</v>
      </c>
      <c r="J244" s="76">
        <f t="shared" ca="1" si="32"/>
        <v>1.1177962760694584</v>
      </c>
    </row>
    <row r="245" spans="2:10" x14ac:dyDescent="0.2">
      <c r="B245" s="66">
        <f ca="1"/>
        <v>58</v>
      </c>
      <c r="C245" s="46">
        <f t="shared" ca="1" si="26"/>
        <v>1</v>
      </c>
      <c r="D245" s="46">
        <f t="shared" ca="1" si="27"/>
        <v>787</v>
      </c>
      <c r="E245" s="74">
        <f t="shared" ca="1" si="28"/>
        <v>0.99872935196950441</v>
      </c>
      <c r="F245">
        <f t="shared" ca="1" si="29"/>
        <v>0.915116279069767</v>
      </c>
      <c r="G245" s="76">
        <f t="shared" ca="1" si="30"/>
        <v>0.54906976744186153</v>
      </c>
      <c r="H245" s="76">
        <f ca="1">SUM($G$4:G245)</f>
        <v>40.807334302325572</v>
      </c>
      <c r="I245" s="76">
        <f t="shared" ca="1" si="31"/>
        <v>6.7441860465104808E-2</v>
      </c>
      <c r="J245" s="76">
        <f t="shared" ca="1" si="32"/>
        <v>1.254405217659484</v>
      </c>
    </row>
    <row r="246" spans="2:10" x14ac:dyDescent="0.2">
      <c r="B246" s="66">
        <f ca="1"/>
        <v>58.6</v>
      </c>
      <c r="C246" s="46">
        <f t="shared" ca="1" si="26"/>
        <v>1</v>
      </c>
      <c r="D246" s="46">
        <f t="shared" ca="1" si="27"/>
        <v>788</v>
      </c>
      <c r="E246" s="74">
        <f t="shared" ca="1" si="28"/>
        <v>0.99873096446700504</v>
      </c>
      <c r="F246">
        <f t="shared" ca="1" si="29"/>
        <v>0.91627906976744178</v>
      </c>
      <c r="G246" s="76">
        <f t="shared" ca="1" si="30"/>
        <v>0.64139534883720539</v>
      </c>
      <c r="H246" s="76">
        <f ca="1">SUM($G$4:G246)</f>
        <v>41.448729651162779</v>
      </c>
      <c r="I246" s="76">
        <f t="shared" ca="1" si="31"/>
        <v>6.8139534883741873E-2</v>
      </c>
      <c r="J246" s="76">
        <f t="shared" ca="1" si="32"/>
        <v>1.3006539372382475</v>
      </c>
    </row>
    <row r="247" spans="2:10" x14ac:dyDescent="0.2">
      <c r="B247" s="66">
        <f ca="1"/>
        <v>59.3</v>
      </c>
      <c r="C247" s="46">
        <f t="shared" ca="1" si="26"/>
        <v>1</v>
      </c>
      <c r="D247" s="46">
        <f t="shared" ca="1" si="27"/>
        <v>789</v>
      </c>
      <c r="E247" s="74">
        <f t="shared" ca="1" si="28"/>
        <v>0.99873257287705952</v>
      </c>
      <c r="F247">
        <f t="shared" ca="1" si="29"/>
        <v>0.91744186046511622</v>
      </c>
      <c r="G247" s="76">
        <f t="shared" ca="1" si="30"/>
        <v>0.64220930232558393</v>
      </c>
      <c r="H247" s="76">
        <f ca="1">SUM($G$4:G247)</f>
        <v>42.090938953488362</v>
      </c>
      <c r="I247" s="76">
        <f t="shared" ca="1" si="31"/>
        <v>6.895348837209446E-2</v>
      </c>
      <c r="J247" s="76">
        <f t="shared" ca="1" si="32"/>
        <v>1.3556689162806017</v>
      </c>
    </row>
    <row r="248" spans="2:10" x14ac:dyDescent="0.2">
      <c r="B248" s="66">
        <f ca="1"/>
        <v>60</v>
      </c>
      <c r="C248" s="46">
        <f t="shared" ca="1" si="26"/>
        <v>1</v>
      </c>
      <c r="D248" s="46">
        <f t="shared" ca="1" si="27"/>
        <v>790</v>
      </c>
      <c r="E248" s="74">
        <f t="shared" ca="1" si="28"/>
        <v>0.99873417721518987</v>
      </c>
      <c r="F248">
        <f t="shared" ca="1" si="29"/>
        <v>0.91860465116279055</v>
      </c>
      <c r="G248" s="76">
        <f t="shared" ca="1" si="30"/>
        <v>0.44093023255813657</v>
      </c>
      <c r="H248" s="76">
        <f ca="1">SUM($G$4:G248)</f>
        <v>42.531869186046499</v>
      </c>
      <c r="I248" s="76">
        <f t="shared" ca="1" si="31"/>
        <v>6.9767441860459911E-2</v>
      </c>
      <c r="J248" s="76">
        <f t="shared" ca="1" si="32"/>
        <v>1.411823430206915</v>
      </c>
    </row>
    <row r="249" spans="2:10" x14ac:dyDescent="0.2">
      <c r="B249" s="66">
        <f ca="1"/>
        <v>60.48</v>
      </c>
      <c r="C249" s="46">
        <f t="shared" ca="1" si="26"/>
        <v>1</v>
      </c>
      <c r="D249" s="46">
        <f t="shared" ca="1" si="27"/>
        <v>791</v>
      </c>
      <c r="E249" s="74">
        <f t="shared" ca="1" si="28"/>
        <v>0.99873577749683939</v>
      </c>
      <c r="F249">
        <f t="shared" ca="1" si="29"/>
        <v>0.91976744186046522</v>
      </c>
      <c r="G249" s="76">
        <f t="shared" ca="1" si="30"/>
        <v>0.47827906976744478</v>
      </c>
      <c r="H249" s="76">
        <f ca="1">SUM($G$4:G249)</f>
        <v>43.010148255813945</v>
      </c>
      <c r="I249" s="76">
        <f t="shared" ca="1" si="31"/>
        <v>7.0325581395363726E-2</v>
      </c>
      <c r="J249" s="76">
        <f t="shared" ca="1" si="32"/>
        <v>1.4509879872651965</v>
      </c>
    </row>
    <row r="250" spans="2:10" x14ac:dyDescent="0.2">
      <c r="B250" s="66">
        <f ca="1"/>
        <v>61</v>
      </c>
      <c r="C250" s="46">
        <f t="shared" ca="1" si="26"/>
        <v>2</v>
      </c>
      <c r="D250" s="46">
        <f t="shared" ca="1" si="27"/>
        <v>793</v>
      </c>
      <c r="E250" s="74">
        <f t="shared" ca="1" si="28"/>
        <v>0.99747793190416145</v>
      </c>
      <c r="F250">
        <f t="shared" ca="1" si="29"/>
        <v>0.92209302325581399</v>
      </c>
      <c r="G250" s="76">
        <f t="shared" ca="1" si="30"/>
        <v>0.92209302325581399</v>
      </c>
      <c r="H250" s="76">
        <f ca="1">SUM($G$4:G250)</f>
        <v>43.932241279069757</v>
      </c>
      <c r="I250" s="76">
        <f t="shared" ca="1" si="31"/>
        <v>0.14186046511627526</v>
      </c>
      <c r="J250" s="76">
        <f t="shared" ca="1" si="32"/>
        <v>2.9880418171473297</v>
      </c>
    </row>
    <row r="251" spans="2:10" x14ac:dyDescent="0.2">
      <c r="B251" s="66">
        <f ca="1"/>
        <v>62</v>
      </c>
      <c r="C251" s="46">
        <f t="shared" ca="1" si="26"/>
        <v>1</v>
      </c>
      <c r="D251" s="46">
        <f t="shared" ca="1" si="27"/>
        <v>794</v>
      </c>
      <c r="E251" s="74">
        <f t="shared" ca="1" si="28"/>
        <v>0.99874055415617125</v>
      </c>
      <c r="F251">
        <f t="shared" ca="1" si="29"/>
        <v>0.92325581395348866</v>
      </c>
      <c r="G251" s="76">
        <f t="shared" ca="1" si="30"/>
        <v>1.255627906976744</v>
      </c>
      <c r="H251" s="76">
        <f ca="1">SUM($G$4:G251)</f>
        <v>45.187869186046498</v>
      </c>
      <c r="I251" s="76">
        <f t="shared" ca="1" si="31"/>
        <v>7.2093023255829225E-2</v>
      </c>
      <c r="J251" s="76">
        <f t="shared" ca="1" si="32"/>
        <v>1.5785439683360729</v>
      </c>
    </row>
    <row r="252" spans="2:10" x14ac:dyDescent="0.2">
      <c r="B252" s="66">
        <f ca="1"/>
        <v>63.36</v>
      </c>
      <c r="C252" s="46">
        <f t="shared" ca="1" si="26"/>
        <v>1</v>
      </c>
      <c r="D252" s="46">
        <f t="shared" ca="1" si="27"/>
        <v>795</v>
      </c>
      <c r="E252" s="74">
        <f t="shared" ca="1" si="28"/>
        <v>0.99874213836477987</v>
      </c>
      <c r="F252">
        <f t="shared" ca="1" si="29"/>
        <v>0.92441860465116288</v>
      </c>
      <c r="G252" s="76">
        <f t="shared" ca="1" si="30"/>
        <v>0.59162790697674472</v>
      </c>
      <c r="H252" s="76">
        <f ca="1">SUM($G$4:G252)</f>
        <v>45.779497093023245</v>
      </c>
      <c r="I252" s="76">
        <f t="shared" ca="1" si="31"/>
        <v>7.3674418604638636E-2</v>
      </c>
      <c r="J252" s="76">
        <f t="shared" ca="1" si="32"/>
        <v>1.6972274226350712</v>
      </c>
    </row>
    <row r="253" spans="2:10" x14ac:dyDescent="0.2">
      <c r="B253" s="66">
        <f ca="1"/>
        <v>64</v>
      </c>
      <c r="C253" s="46">
        <f t="shared" ca="1" si="26"/>
        <v>1</v>
      </c>
      <c r="D253" s="46">
        <f t="shared" ca="1" si="27"/>
        <v>796</v>
      </c>
      <c r="E253" s="74">
        <f t="shared" ca="1" si="28"/>
        <v>0.99874371859296485</v>
      </c>
      <c r="F253">
        <f t="shared" ca="1" si="29"/>
        <v>0.92558139534883699</v>
      </c>
      <c r="G253" s="76">
        <f t="shared" ca="1" si="30"/>
        <v>0.74046511627906697</v>
      </c>
      <c r="H253" s="76">
        <f ca="1">SUM($G$4:G253)</f>
        <v>46.519962209302314</v>
      </c>
      <c r="I253" s="76">
        <f t="shared" ca="1" si="31"/>
        <v>7.4418604651143028E-2</v>
      </c>
      <c r="J253" s="76">
        <f t="shared" ca="1" si="32"/>
        <v>1.7545668320453862</v>
      </c>
    </row>
    <row r="254" spans="2:10" x14ac:dyDescent="0.2">
      <c r="B254" s="66">
        <f ca="1"/>
        <v>64.8</v>
      </c>
      <c r="C254" s="46">
        <f t="shared" ca="1" si="26"/>
        <v>1</v>
      </c>
      <c r="D254" s="46">
        <f t="shared" ca="1" si="27"/>
        <v>797</v>
      </c>
      <c r="E254" s="74">
        <f t="shared" ca="1" si="28"/>
        <v>0.99874529485570895</v>
      </c>
      <c r="F254">
        <f t="shared" ca="1" si="29"/>
        <v>0.92674418604651121</v>
      </c>
      <c r="G254" s="76">
        <f t="shared" ca="1" si="30"/>
        <v>1.334511627906974</v>
      </c>
      <c r="H254" s="76">
        <f ca="1">SUM($G$4:G254)</f>
        <v>47.854473837209291</v>
      </c>
      <c r="I254" s="76">
        <f t="shared" ca="1" si="31"/>
        <v>7.5348837209289504E-2</v>
      </c>
      <c r="J254" s="76">
        <f t="shared" ca="1" si="32"/>
        <v>1.8275806286923773</v>
      </c>
    </row>
    <row r="255" spans="2:10" x14ac:dyDescent="0.2">
      <c r="B255" s="66">
        <f ca="1"/>
        <v>66.239999999999995</v>
      </c>
      <c r="C255" s="46">
        <f t="shared" ca="1" si="26"/>
        <v>3</v>
      </c>
      <c r="D255" s="46">
        <f t="shared" ca="1" si="27"/>
        <v>800</v>
      </c>
      <c r="E255" s="74">
        <f t="shared" ca="1" si="28"/>
        <v>0.99624999999999997</v>
      </c>
      <c r="F255">
        <f t="shared" ca="1" si="29"/>
        <v>0.93023255813953476</v>
      </c>
      <c r="G255" s="76">
        <f t="shared" ca="1" si="30"/>
        <v>1.0790697674418703</v>
      </c>
      <c r="H255" s="76">
        <f ca="1">SUM($G$4:G255)</f>
        <v>48.933543604651163</v>
      </c>
      <c r="I255" s="76">
        <f t="shared" ca="1" si="31"/>
        <v>0.23106976744187999</v>
      </c>
      <c r="J255" s="76">
        <f t="shared" ca="1" si="32"/>
        <v>5.8882684809947321</v>
      </c>
    </row>
    <row r="256" spans="2:10" x14ac:dyDescent="0.2">
      <c r="B256" s="66">
        <f ca="1"/>
        <v>67.400000000000006</v>
      </c>
      <c r="C256" s="46">
        <f t="shared" ca="1" si="26"/>
        <v>1</v>
      </c>
      <c r="D256" s="46">
        <f t="shared" ca="1" si="27"/>
        <v>801</v>
      </c>
      <c r="E256" s="74">
        <f t="shared" ca="1" si="28"/>
        <v>0.99875156054931336</v>
      </c>
      <c r="F256">
        <f t="shared" ca="1" si="29"/>
        <v>0.93139534883720909</v>
      </c>
      <c r="G256" s="76">
        <f t="shared" ca="1" si="30"/>
        <v>0.26079069767440638</v>
      </c>
      <c r="H256" s="76">
        <f ca="1">SUM($G$4:G256)</f>
        <v>49.194334302325572</v>
      </c>
      <c r="I256" s="76">
        <f t="shared" ca="1" si="31"/>
        <v>7.8372093023249975E-2</v>
      </c>
      <c r="J256" s="76">
        <f t="shared" ca="1" si="32"/>
        <v>2.0751545375621934</v>
      </c>
    </row>
    <row r="257" spans="2:10" x14ac:dyDescent="0.2">
      <c r="B257" s="66">
        <f ca="1"/>
        <v>67.679999999999993</v>
      </c>
      <c r="C257" s="46">
        <f t="shared" ca="1" si="26"/>
        <v>2</v>
      </c>
      <c r="D257" s="46">
        <f t="shared" ca="1" si="27"/>
        <v>803</v>
      </c>
      <c r="E257" s="74">
        <f t="shared" ca="1" si="28"/>
        <v>0.99750933997509339</v>
      </c>
      <c r="F257">
        <f t="shared" ca="1" si="29"/>
        <v>0.9337209302325582</v>
      </c>
      <c r="G257" s="76">
        <f t="shared" ca="1" si="30"/>
        <v>1.8674418604660719E-2</v>
      </c>
      <c r="H257" s="76">
        <f ca="1">SUM($G$4:G257)</f>
        <v>49.213008720930233</v>
      </c>
      <c r="I257" s="76">
        <f t="shared" ca="1" si="31"/>
        <v>0.15739534883722761</v>
      </c>
      <c r="J257" s="76">
        <f t="shared" ca="1" si="32"/>
        <v>4.2055080351035494</v>
      </c>
    </row>
    <row r="258" spans="2:10" x14ac:dyDescent="0.2">
      <c r="B258" s="66">
        <f ca="1"/>
        <v>67.7</v>
      </c>
      <c r="C258" s="46">
        <f t="shared" ca="1" si="26"/>
        <v>1</v>
      </c>
      <c r="D258" s="46">
        <f t="shared" ca="1" si="27"/>
        <v>804</v>
      </c>
      <c r="E258" s="74">
        <f t="shared" ca="1" si="28"/>
        <v>0.99875621890547261</v>
      </c>
      <c r="F258">
        <f t="shared" ca="1" si="29"/>
        <v>0.93488372093023231</v>
      </c>
      <c r="G258" s="76">
        <f t="shared" ca="1" si="30"/>
        <v>1.3275348837209315</v>
      </c>
      <c r="H258" s="76">
        <f ca="1">SUM($G$4:G258)</f>
        <v>50.540543604651162</v>
      </c>
      <c r="I258" s="76">
        <f t="shared" ca="1" si="31"/>
        <v>7.8720930232537234E-2</v>
      </c>
      <c r="J258" s="76">
        <f t="shared" ca="1" si="32"/>
        <v>2.104732385722957</v>
      </c>
    </row>
    <row r="259" spans="2:10" x14ac:dyDescent="0.2">
      <c r="B259" s="66">
        <f ca="1"/>
        <v>69.12</v>
      </c>
      <c r="C259" s="46">
        <f t="shared" ca="1" si="26"/>
        <v>1</v>
      </c>
      <c r="D259" s="46">
        <f t="shared" ca="1" si="27"/>
        <v>805</v>
      </c>
      <c r="E259" s="74">
        <f t="shared" ca="1" si="28"/>
        <v>0.99875776397515525</v>
      </c>
      <c r="F259">
        <f t="shared" ca="1" si="29"/>
        <v>0.93604651162790686</v>
      </c>
      <c r="G259" s="76">
        <f t="shared" ca="1" si="30"/>
        <v>0.82372093023255377</v>
      </c>
      <c r="H259" s="76">
        <f ca="1">SUM($G$4:G259)</f>
        <v>51.364264534883716</v>
      </c>
      <c r="I259" s="76">
        <f t="shared" ca="1" si="31"/>
        <v>8.0372093023265173E-2</v>
      </c>
      <c r="J259" s="76">
        <f t="shared" ca="1" si="32"/>
        <v>2.2475742003533075</v>
      </c>
    </row>
    <row r="260" spans="2:10" x14ac:dyDescent="0.2">
      <c r="B260" s="66">
        <f ca="1"/>
        <v>70</v>
      </c>
      <c r="C260" s="46">
        <f t="shared" ref="C260:C323" ca="1" si="33">COUNTIF(RAW_DATA,B260)</f>
        <v>1</v>
      </c>
      <c r="D260" s="46">
        <f t="shared" ca="1" si="27"/>
        <v>806</v>
      </c>
      <c r="E260" s="74">
        <f t="shared" ca="1" si="28"/>
        <v>0.99875930521091816</v>
      </c>
      <c r="F260">
        <f t="shared" ca="1" si="29"/>
        <v>0.93720930232558142</v>
      </c>
      <c r="G260" s="76">
        <f t="shared" ca="1" si="30"/>
        <v>0.93720930232558142</v>
      </c>
      <c r="H260" s="76">
        <f ca="1">SUM($G$4:G260)</f>
        <v>52.301473837209301</v>
      </c>
      <c r="I260" s="76">
        <f t="shared" ca="1" si="31"/>
        <v>8.1395348837218773E-2</v>
      </c>
      <c r="J260" s="76">
        <f t="shared" ca="1" si="32"/>
        <v>2.3384493766648373</v>
      </c>
    </row>
    <row r="261" spans="2:10" x14ac:dyDescent="0.2">
      <c r="B261" s="66">
        <f ca="1"/>
        <v>71</v>
      </c>
      <c r="C261" s="46">
        <f t="shared" ca="1" si="33"/>
        <v>1</v>
      </c>
      <c r="D261" s="46">
        <f t="shared" ref="D261:D324" ca="1" si="34">COUNTIF(ALL_DATA,B261)+D260</f>
        <v>807</v>
      </c>
      <c r="E261" s="74">
        <f t="shared" ref="E261:E324" ca="1" si="35">1-C261/D261</f>
        <v>0.99876084262701359</v>
      </c>
      <c r="F261">
        <f t="shared" ref="F261:F324" ca="1" si="36">PRODUCT(E262:E1112)</f>
        <v>0.93837209302325564</v>
      </c>
      <c r="G261" s="76">
        <f t="shared" ref="G261:G324" ca="1" si="37">(B262-B261)*F261</f>
        <v>0.93837209302325564</v>
      </c>
      <c r="H261" s="76">
        <f ca="1">SUM($G$4:G261)</f>
        <v>53.239845930232555</v>
      </c>
      <c r="I261" s="76">
        <f t="shared" ca="1" si="31"/>
        <v>8.2558139534869679E-2</v>
      </c>
      <c r="J261" s="76">
        <f t="shared" ca="1" si="32"/>
        <v>2.4439026689843226</v>
      </c>
    </row>
    <row r="262" spans="2:10" x14ac:dyDescent="0.2">
      <c r="B262" s="66">
        <f ca="1"/>
        <v>72</v>
      </c>
      <c r="C262" s="46">
        <f t="shared" ca="1" si="33"/>
        <v>1</v>
      </c>
      <c r="D262" s="46">
        <f t="shared" ca="1" si="34"/>
        <v>808</v>
      </c>
      <c r="E262" s="74">
        <f t="shared" ca="1" si="35"/>
        <v>0.99876237623762376</v>
      </c>
      <c r="F262">
        <f t="shared" ca="1" si="36"/>
        <v>0.93953488372093064</v>
      </c>
      <c r="G262" s="76">
        <f t="shared" ca="1" si="37"/>
        <v>2.8186046511627918</v>
      </c>
      <c r="H262" s="76">
        <f ca="1">SUM($G$4:G262)</f>
        <v>56.058450581395348</v>
      </c>
      <c r="I262" s="76">
        <f t="shared" ref="I262:I325" ca="1" si="38">B262*(F262-F261)</f>
        <v>8.3720930232599855E-2</v>
      </c>
      <c r="J262" s="76">
        <f t="shared" ref="J262:J325" ca="1" si="39">POWER(B262-$M$3,2)*(F262-F261)</f>
        <v>2.5516815427015316</v>
      </c>
    </row>
    <row r="263" spans="2:10" x14ac:dyDescent="0.2">
      <c r="B263" s="66">
        <f ca="1"/>
        <v>75</v>
      </c>
      <c r="C263" s="46">
        <f t="shared" ca="1" si="33"/>
        <v>1</v>
      </c>
      <c r="D263" s="46">
        <f t="shared" ca="1" si="34"/>
        <v>809</v>
      </c>
      <c r="E263" s="74">
        <f t="shared" ca="1" si="35"/>
        <v>0.99876390605686027</v>
      </c>
      <c r="F263">
        <f t="shared" ca="1" si="36"/>
        <v>0.94069767441860463</v>
      </c>
      <c r="G263" s="76">
        <f t="shared" ca="1" si="37"/>
        <v>2.5963255813953401</v>
      </c>
      <c r="H263" s="76">
        <f ca="1">SUM($G$4:G263)</f>
        <v>58.654776162790689</v>
      </c>
      <c r="I263" s="76">
        <f t="shared" ca="1" si="38"/>
        <v>8.7209302325549909E-2</v>
      </c>
      <c r="J263" s="76">
        <f t="shared" ca="1" si="39"/>
        <v>2.8889716522178759</v>
      </c>
    </row>
    <row r="264" spans="2:10" x14ac:dyDescent="0.2">
      <c r="B264" s="66">
        <f ca="1"/>
        <v>77.759999999999991</v>
      </c>
      <c r="C264" s="46">
        <f t="shared" ca="1" si="33"/>
        <v>1</v>
      </c>
      <c r="D264" s="46">
        <f t="shared" ca="1" si="34"/>
        <v>810</v>
      </c>
      <c r="E264" s="74">
        <f t="shared" ca="1" si="35"/>
        <v>0.99876543209876545</v>
      </c>
      <c r="F264">
        <f t="shared" ca="1" si="36"/>
        <v>0.9418604651162793</v>
      </c>
      <c r="G264" s="76">
        <f t="shared" ca="1" si="37"/>
        <v>2.1097674418604742</v>
      </c>
      <c r="H264" s="76">
        <f ca="1">SUM($G$4:G264)</f>
        <v>60.764543604651166</v>
      </c>
      <c r="I264" s="76">
        <f t="shared" ca="1" si="38"/>
        <v>9.0418604651181927E-2</v>
      </c>
      <c r="J264" s="76">
        <f t="shared" ca="1" si="39"/>
        <v>3.2177641343721146</v>
      </c>
    </row>
    <row r="265" spans="2:10" x14ac:dyDescent="0.2">
      <c r="B265" s="66">
        <f ca="1"/>
        <v>80</v>
      </c>
      <c r="C265" s="46">
        <f t="shared" ca="1" si="33"/>
        <v>1</v>
      </c>
      <c r="D265" s="46">
        <f t="shared" ca="1" si="34"/>
        <v>811</v>
      </c>
      <c r="E265" s="74">
        <f t="shared" ca="1" si="35"/>
        <v>0.998766954377312</v>
      </c>
      <c r="F265">
        <f t="shared" ca="1" si="36"/>
        <v>0.94302325581395374</v>
      </c>
      <c r="G265" s="76">
        <f t="shared" ca="1" si="37"/>
        <v>1.9614883720930221</v>
      </c>
      <c r="H265" s="76">
        <f ca="1">SUM($G$4:G265)</f>
        <v>62.726031976744189</v>
      </c>
      <c r="I265" s="76">
        <f t="shared" ca="1" si="38"/>
        <v>9.302325581395543E-2</v>
      </c>
      <c r="J265" s="76">
        <f t="shared" ca="1" si="39"/>
        <v>3.4976334626570664</v>
      </c>
    </row>
    <row r="266" spans="2:10" x14ac:dyDescent="0.2">
      <c r="B266" s="66">
        <f ca="1"/>
        <v>82.08</v>
      </c>
      <c r="C266" s="46">
        <f t="shared" ca="1" si="33"/>
        <v>1</v>
      </c>
      <c r="D266" s="46">
        <f t="shared" ca="1" si="34"/>
        <v>812</v>
      </c>
      <c r="E266" s="74">
        <f t="shared" ca="1" si="35"/>
        <v>0.99876847290640391</v>
      </c>
      <c r="F266">
        <f t="shared" ca="1" si="36"/>
        <v>0.94418604651162785</v>
      </c>
      <c r="G266" s="76">
        <f t="shared" ca="1" si="37"/>
        <v>1.8128372093023271</v>
      </c>
      <c r="H266" s="76">
        <f ca="1">SUM($G$4:G266)</f>
        <v>64.538869186046512</v>
      </c>
      <c r="I266" s="76">
        <f t="shared" ca="1" si="38"/>
        <v>9.5441860465090927E-2</v>
      </c>
      <c r="J266" s="76">
        <f t="shared" ca="1" si="39"/>
        <v>3.7679604967284646</v>
      </c>
    </row>
    <row r="267" spans="2:10" x14ac:dyDescent="0.2">
      <c r="B267" s="66">
        <f ca="1"/>
        <v>84</v>
      </c>
      <c r="C267" s="46">
        <f t="shared" ca="1" si="33"/>
        <v>1</v>
      </c>
      <c r="D267" s="46">
        <f t="shared" ca="1" si="34"/>
        <v>813</v>
      </c>
      <c r="E267" s="74">
        <f t="shared" ca="1" si="35"/>
        <v>0.99876998769987702</v>
      </c>
      <c r="F267">
        <f t="shared" ca="1" si="36"/>
        <v>0.94534883720930252</v>
      </c>
      <c r="G267" s="76">
        <f t="shared" ca="1" si="37"/>
        <v>0.94534883720930252</v>
      </c>
      <c r="H267" s="76">
        <f ca="1">SUM($G$4:G267)</f>
        <v>65.484218023255821</v>
      </c>
      <c r="I267" s="76">
        <f t="shared" ca="1" si="38"/>
        <v>9.7674418604671853E-2</v>
      </c>
      <c r="J267" s="76">
        <f t="shared" ca="1" si="39"/>
        <v>4.0264233761245851</v>
      </c>
    </row>
    <row r="268" spans="2:10" x14ac:dyDescent="0.2">
      <c r="B268" s="66">
        <f ca="1"/>
        <v>85</v>
      </c>
      <c r="C268" s="46">
        <f t="shared" ca="1" si="33"/>
        <v>1</v>
      </c>
      <c r="D268" s="46">
        <f t="shared" ca="1" si="34"/>
        <v>814</v>
      </c>
      <c r="E268" s="74">
        <f t="shared" ca="1" si="35"/>
        <v>0.99877149877149873</v>
      </c>
      <c r="F268">
        <f t="shared" ca="1" si="36"/>
        <v>0.94651162790697652</v>
      </c>
      <c r="G268" s="76">
        <f t="shared" ca="1" si="37"/>
        <v>1.325116279069759</v>
      </c>
      <c r="H268" s="76">
        <f ca="1">SUM($G$4:G268)</f>
        <v>66.809334302325581</v>
      </c>
      <c r="I268" s="76">
        <f t="shared" ca="1" si="38"/>
        <v>9.8837209302289897E-2</v>
      </c>
      <c r="J268" s="76">
        <f t="shared" ca="1" si="39"/>
        <v>4.1644348079772859</v>
      </c>
    </row>
    <row r="269" spans="2:10" x14ac:dyDescent="0.2">
      <c r="B269" s="66">
        <f ca="1"/>
        <v>86.399999999999991</v>
      </c>
      <c r="C269" s="46">
        <f t="shared" ca="1" si="33"/>
        <v>1</v>
      </c>
      <c r="D269" s="46">
        <f t="shared" ca="1" si="34"/>
        <v>815</v>
      </c>
      <c r="E269" s="74">
        <f t="shared" ca="1" si="35"/>
        <v>0.99877300613496933</v>
      </c>
      <c r="F269">
        <f t="shared" ca="1" si="36"/>
        <v>0.94767441860465085</v>
      </c>
      <c r="G269" s="76">
        <f t="shared" ca="1" si="37"/>
        <v>3.4116279069767512</v>
      </c>
      <c r="H269" s="76">
        <f ca="1">SUM($G$4:G269)</f>
        <v>70.220962209302328</v>
      </c>
      <c r="I269" s="76">
        <f t="shared" ca="1" si="38"/>
        <v>0.10046511627906227</v>
      </c>
      <c r="J269" s="76">
        <f t="shared" ca="1" si="39"/>
        <v>4.3615577893197282</v>
      </c>
    </row>
    <row r="270" spans="2:10" x14ac:dyDescent="0.2">
      <c r="B270" s="66">
        <f ca="1"/>
        <v>90</v>
      </c>
      <c r="C270" s="46">
        <f t="shared" ca="1" si="33"/>
        <v>1</v>
      </c>
      <c r="D270" s="46">
        <f t="shared" ca="1" si="34"/>
        <v>816</v>
      </c>
      <c r="E270" s="74">
        <f t="shared" ca="1" si="35"/>
        <v>0.99877450980392157</v>
      </c>
      <c r="F270">
        <f t="shared" ca="1" si="36"/>
        <v>0.94883720930232573</v>
      </c>
      <c r="G270" s="76">
        <f t="shared" ca="1" si="37"/>
        <v>2.8465116279069771</v>
      </c>
      <c r="H270" s="76">
        <f ca="1">SUM($G$4:G270)</f>
        <v>73.067473837209306</v>
      </c>
      <c r="I270" s="76">
        <f t="shared" ca="1" si="38"/>
        <v>0.10465116279073983</v>
      </c>
      <c r="J270" s="76">
        <f t="shared" ca="1" si="39"/>
        <v>4.8893756881862744</v>
      </c>
    </row>
    <row r="271" spans="2:10" x14ac:dyDescent="0.2">
      <c r="B271" s="66">
        <f ca="1"/>
        <v>93</v>
      </c>
      <c r="C271" s="46">
        <f t="shared" ca="1" si="33"/>
        <v>1</v>
      </c>
      <c r="D271" s="46">
        <f t="shared" ca="1" si="34"/>
        <v>817</v>
      </c>
      <c r="E271" s="74">
        <f t="shared" ca="1" si="35"/>
        <v>0.99877600979192172</v>
      </c>
      <c r="F271">
        <f t="shared" ca="1" si="36"/>
        <v>0.94999999999999984</v>
      </c>
      <c r="G271" s="76">
        <f t="shared" ca="1" si="37"/>
        <v>2.8499999999999996</v>
      </c>
      <c r="H271" s="76">
        <f ca="1">SUM($G$4:G271)</f>
        <v>75.9174738372093</v>
      </c>
      <c r="I271" s="76">
        <f t="shared" ca="1" si="38"/>
        <v>0.10813953488369221</v>
      </c>
      <c r="J271" s="76">
        <f t="shared" ca="1" si="39"/>
        <v>5.3522471930503794</v>
      </c>
    </row>
    <row r="272" spans="2:10" x14ac:dyDescent="0.2">
      <c r="B272" s="66">
        <f ca="1"/>
        <v>96</v>
      </c>
      <c r="C272" s="46">
        <f t="shared" ca="1" si="33"/>
        <v>1</v>
      </c>
      <c r="D272" s="46">
        <f t="shared" ca="1" si="34"/>
        <v>818</v>
      </c>
      <c r="E272" s="74">
        <f t="shared" ca="1" si="35"/>
        <v>0.9987775061124694</v>
      </c>
      <c r="F272">
        <f t="shared" ca="1" si="36"/>
        <v>0.95116279069767429</v>
      </c>
      <c r="G272" s="76">
        <f t="shared" ca="1" si="37"/>
        <v>0.38046511627907514</v>
      </c>
      <c r="H272" s="76">
        <f ca="1">SUM($G$4:G272)</f>
        <v>76.297938953488369</v>
      </c>
      <c r="I272" s="76">
        <f t="shared" ca="1" si="38"/>
        <v>0.11162790697674652</v>
      </c>
      <c r="J272" s="76">
        <f t="shared" ca="1" si="39"/>
        <v>5.8360489304775589</v>
      </c>
    </row>
    <row r="273" spans="2:10" x14ac:dyDescent="0.2">
      <c r="B273" s="66">
        <f ca="1"/>
        <v>96.4</v>
      </c>
      <c r="C273" s="46">
        <f t="shared" ca="1" si="33"/>
        <v>1</v>
      </c>
      <c r="D273" s="46">
        <f t="shared" ca="1" si="34"/>
        <v>819</v>
      </c>
      <c r="E273" s="74">
        <f t="shared" ca="1" si="35"/>
        <v>0.99877899877899878</v>
      </c>
      <c r="F273">
        <f t="shared" ca="1" si="36"/>
        <v>0.95232558139534862</v>
      </c>
      <c r="G273" s="76">
        <f t="shared" ca="1" si="37"/>
        <v>0.57139534883720378</v>
      </c>
      <c r="H273" s="76">
        <f ca="1">SUM($G$4:G273)</f>
        <v>76.869334302325569</v>
      </c>
      <c r="I273" s="76">
        <f t="shared" ca="1" si="38"/>
        <v>0.1120930232558056</v>
      </c>
      <c r="J273" s="76">
        <f t="shared" ca="1" si="39"/>
        <v>5.9021372241492527</v>
      </c>
    </row>
    <row r="274" spans="2:10" x14ac:dyDescent="0.2">
      <c r="B274" s="66">
        <f ca="1"/>
        <v>97</v>
      </c>
      <c r="C274" s="46">
        <f t="shared" ca="1" si="33"/>
        <v>1</v>
      </c>
      <c r="D274" s="46">
        <f t="shared" ca="1" si="34"/>
        <v>820</v>
      </c>
      <c r="E274" s="74">
        <f t="shared" ca="1" si="35"/>
        <v>0.99878048780487805</v>
      </c>
      <c r="F274">
        <f t="shared" ca="1" si="36"/>
        <v>0.9534883720930234</v>
      </c>
      <c r="G274" s="76">
        <f t="shared" ca="1" si="37"/>
        <v>1.9069767441860468</v>
      </c>
      <c r="H274" s="76">
        <f ca="1">SUM($G$4:G274)</f>
        <v>78.776311046511623</v>
      </c>
      <c r="I274" s="76">
        <f t="shared" ca="1" si="38"/>
        <v>0.11279069767445327</v>
      </c>
      <c r="J274" s="76">
        <f t="shared" ca="1" si="39"/>
        <v>6.001967339078524</v>
      </c>
    </row>
    <row r="275" spans="2:10" x14ac:dyDescent="0.2">
      <c r="B275" s="66">
        <f ca="1"/>
        <v>99</v>
      </c>
      <c r="C275" s="46">
        <f t="shared" ca="1" si="33"/>
        <v>1</v>
      </c>
      <c r="D275" s="46">
        <f t="shared" ca="1" si="34"/>
        <v>821</v>
      </c>
      <c r="E275" s="74">
        <f t="shared" ca="1" si="35"/>
        <v>0.99878197320341044</v>
      </c>
      <c r="F275">
        <f t="shared" ca="1" si="36"/>
        <v>0.95465116279069773</v>
      </c>
      <c r="G275" s="76">
        <f t="shared" ca="1" si="37"/>
        <v>0.95465116279069773</v>
      </c>
      <c r="H275" s="76">
        <f ca="1">SUM($G$4:G275)</f>
        <v>79.730962209302319</v>
      </c>
      <c r="I275" s="76">
        <f t="shared" ca="1" si="38"/>
        <v>0.11511627906975885</v>
      </c>
      <c r="J275" s="76">
        <f t="shared" ca="1" si="39"/>
        <v>6.3407809004607385</v>
      </c>
    </row>
    <row r="276" spans="2:10" x14ac:dyDescent="0.2">
      <c r="B276" s="66">
        <f ca="1"/>
        <v>100</v>
      </c>
      <c r="C276" s="46">
        <f t="shared" ca="1" si="33"/>
        <v>1</v>
      </c>
      <c r="D276" s="46">
        <f t="shared" ca="1" si="34"/>
        <v>822</v>
      </c>
      <c r="E276" s="74">
        <f t="shared" ca="1" si="35"/>
        <v>0.9987834549878345</v>
      </c>
      <c r="F276">
        <f t="shared" ca="1" si="36"/>
        <v>0.95581395348837239</v>
      </c>
      <c r="G276" s="76">
        <f t="shared" ca="1" si="37"/>
        <v>0.76465116279069523</v>
      </c>
      <c r="H276" s="76">
        <f ca="1">SUM($G$4:G276)</f>
        <v>80.495613372093018</v>
      </c>
      <c r="I276" s="76">
        <f t="shared" ca="1" si="38"/>
        <v>0.11627906976746649</v>
      </c>
      <c r="J276" s="76">
        <f t="shared" ca="1" si="39"/>
        <v>6.513676053247881</v>
      </c>
    </row>
    <row r="277" spans="2:10" x14ac:dyDescent="0.2">
      <c r="B277" s="66">
        <f ca="1"/>
        <v>100.8</v>
      </c>
      <c r="C277" s="46">
        <f t="shared" ca="1" si="33"/>
        <v>1</v>
      </c>
      <c r="D277" s="46">
        <f t="shared" ca="1" si="34"/>
        <v>823</v>
      </c>
      <c r="E277" s="74">
        <f t="shared" ca="1" si="35"/>
        <v>0.99878493317132444</v>
      </c>
      <c r="F277">
        <f t="shared" ca="1" si="36"/>
        <v>0.9569767441860465</v>
      </c>
      <c r="G277" s="76">
        <f t="shared" ca="1" si="37"/>
        <v>1.1483720930232586</v>
      </c>
      <c r="H277" s="76">
        <f ca="1">SUM($G$4:G277)</f>
        <v>81.643985465116273</v>
      </c>
      <c r="I277" s="76">
        <f t="shared" ca="1" si="38"/>
        <v>0.11720930232555027</v>
      </c>
      <c r="J277" s="76">
        <f t="shared" ca="1" si="39"/>
        <v>6.6536665940776167</v>
      </c>
    </row>
    <row r="278" spans="2:10" x14ac:dyDescent="0.2">
      <c r="B278" s="66">
        <f ca="1"/>
        <v>102</v>
      </c>
      <c r="C278" s="46">
        <f t="shared" ca="1" si="33"/>
        <v>1</v>
      </c>
      <c r="D278" s="46">
        <f t="shared" ca="1" si="34"/>
        <v>824</v>
      </c>
      <c r="E278" s="74">
        <f t="shared" ca="1" si="35"/>
        <v>0.99878640776699024</v>
      </c>
      <c r="F278">
        <f t="shared" ca="1" si="36"/>
        <v>0.95813953488372106</v>
      </c>
      <c r="G278" s="76">
        <f t="shared" ca="1" si="37"/>
        <v>1.9162790697674421</v>
      </c>
      <c r="H278" s="76">
        <f ca="1">SUM($G$4:G278)</f>
        <v>83.560264534883714</v>
      </c>
      <c r="I278" s="76">
        <f t="shared" ca="1" si="38"/>
        <v>0.1186046511628045</v>
      </c>
      <c r="J278" s="76">
        <f t="shared" ca="1" si="39"/>
        <v>6.8664431030039248</v>
      </c>
    </row>
    <row r="279" spans="2:10" x14ac:dyDescent="0.2">
      <c r="B279" s="66">
        <f ca="1"/>
        <v>104</v>
      </c>
      <c r="C279" s="46">
        <f t="shared" ca="1" si="33"/>
        <v>1</v>
      </c>
      <c r="D279" s="46">
        <f t="shared" ca="1" si="34"/>
        <v>825</v>
      </c>
      <c r="E279" s="74">
        <f t="shared" ca="1" si="35"/>
        <v>0.99878787878787878</v>
      </c>
      <c r="F279">
        <f t="shared" ca="1" si="36"/>
        <v>0.95930232558139528</v>
      </c>
      <c r="G279" s="76">
        <f t="shared" ca="1" si="37"/>
        <v>5.7558139534883717</v>
      </c>
      <c r="H279" s="76">
        <f ca="1">SUM($G$4:G279)</f>
        <v>89.316078488372085</v>
      </c>
      <c r="I279" s="76">
        <f t="shared" ca="1" si="38"/>
        <v>0.12093023255811897</v>
      </c>
      <c r="J279" s="76">
        <f t="shared" ca="1" si="39"/>
        <v>7.2285124783399173</v>
      </c>
    </row>
    <row r="280" spans="2:10" x14ac:dyDescent="0.2">
      <c r="B280" s="66">
        <f ca="1"/>
        <v>110</v>
      </c>
      <c r="C280" s="46">
        <f t="shared" ca="1" si="33"/>
        <v>1</v>
      </c>
      <c r="D280" s="46">
        <f t="shared" ca="1" si="34"/>
        <v>826</v>
      </c>
      <c r="E280" s="74">
        <f t="shared" ca="1" si="35"/>
        <v>0.99878934624697335</v>
      </c>
      <c r="F280">
        <f t="shared" ca="1" si="36"/>
        <v>0.96046511627906994</v>
      </c>
      <c r="G280" s="76">
        <f t="shared" ca="1" si="37"/>
        <v>2.8813953488372097</v>
      </c>
      <c r="H280" s="76">
        <f ca="1">SUM($G$4:G280)</f>
        <v>92.197473837209301</v>
      </c>
      <c r="I280" s="76">
        <f t="shared" ca="1" si="38"/>
        <v>0.12790697674421314</v>
      </c>
      <c r="J280" s="76">
        <f t="shared" ca="1" si="39"/>
        <v>8.3705345578453532</v>
      </c>
    </row>
    <row r="281" spans="2:10" x14ac:dyDescent="0.2">
      <c r="B281" s="66">
        <f ca="1"/>
        <v>113</v>
      </c>
      <c r="C281" s="46">
        <f t="shared" ca="1" si="33"/>
        <v>1</v>
      </c>
      <c r="D281" s="46">
        <f t="shared" ca="1" si="34"/>
        <v>827</v>
      </c>
      <c r="E281" s="74">
        <f t="shared" ca="1" si="35"/>
        <v>0.99879081015719473</v>
      </c>
      <c r="F281">
        <f t="shared" ca="1" si="36"/>
        <v>0.96162790697674438</v>
      </c>
      <c r="G281" s="76">
        <f t="shared" ca="1" si="37"/>
        <v>6.7313953488372107</v>
      </c>
      <c r="H281" s="76">
        <f ca="1">SUM($G$4:G281)</f>
        <v>98.928869186046512</v>
      </c>
      <c r="I281" s="76">
        <f t="shared" ca="1" si="38"/>
        <v>0.13139534883721204</v>
      </c>
      <c r="J281" s="76">
        <f t="shared" ca="1" si="39"/>
        <v>8.9729409464321943</v>
      </c>
    </row>
    <row r="282" spans="2:10" x14ac:dyDescent="0.2">
      <c r="B282" s="66">
        <f ca="1"/>
        <v>120</v>
      </c>
      <c r="C282" s="46">
        <f t="shared" ca="1" si="33"/>
        <v>3</v>
      </c>
      <c r="D282" s="46">
        <f t="shared" ca="1" si="34"/>
        <v>830</v>
      </c>
      <c r="E282" s="74">
        <f t="shared" ca="1" si="35"/>
        <v>0.9963855421686747</v>
      </c>
      <c r="F282">
        <f t="shared" ca="1" si="36"/>
        <v>0.96511627906976738</v>
      </c>
      <c r="G282" s="76">
        <f t="shared" ca="1" si="37"/>
        <v>0.96511627906976738</v>
      </c>
      <c r="H282" s="76">
        <f ca="1">SUM($G$4:G282)</f>
        <v>99.893985465116273</v>
      </c>
      <c r="I282" s="76">
        <f t="shared" ca="1" si="38"/>
        <v>0.41860465116275947</v>
      </c>
      <c r="J282" s="76">
        <f t="shared" ca="1" si="39"/>
        <v>31.379853605924289</v>
      </c>
    </row>
    <row r="283" spans="2:10" x14ac:dyDescent="0.2">
      <c r="B283" s="66">
        <f ca="1"/>
        <v>121</v>
      </c>
      <c r="C283" s="46">
        <f t="shared" ca="1" si="33"/>
        <v>1</v>
      </c>
      <c r="D283" s="46">
        <f t="shared" ca="1" si="34"/>
        <v>831</v>
      </c>
      <c r="E283" s="74">
        <f t="shared" ca="1" si="35"/>
        <v>0.99879663056558365</v>
      </c>
      <c r="F283">
        <f t="shared" ca="1" si="36"/>
        <v>0.96627906976744193</v>
      </c>
      <c r="G283" s="76">
        <f t="shared" ca="1" si="37"/>
        <v>2.898837209302326</v>
      </c>
      <c r="H283" s="76">
        <f ca="1">SUM($G$4:G283)</f>
        <v>102.7928226744186</v>
      </c>
      <c r="I283" s="76">
        <f t="shared" ca="1" si="38"/>
        <v>0.14069767441862102</v>
      </c>
      <c r="J283" s="76">
        <f t="shared" ca="1" si="39"/>
        <v>10.681683564064404</v>
      </c>
    </row>
    <row r="284" spans="2:10" x14ac:dyDescent="0.2">
      <c r="B284" s="66">
        <f ca="1"/>
        <v>124</v>
      </c>
      <c r="C284" s="46">
        <f t="shared" ca="1" si="33"/>
        <v>1</v>
      </c>
      <c r="D284" s="46">
        <f t="shared" ca="1" si="34"/>
        <v>832</v>
      </c>
      <c r="E284" s="74">
        <f t="shared" ca="1" si="35"/>
        <v>0.99879807692307687</v>
      </c>
      <c r="F284">
        <f t="shared" ca="1" si="36"/>
        <v>0.96744186046511649</v>
      </c>
      <c r="G284" s="76">
        <f t="shared" ca="1" si="37"/>
        <v>0.96744186046511649</v>
      </c>
      <c r="H284" s="76">
        <f ca="1">SUM($G$4:G284)</f>
        <v>103.76026453488372</v>
      </c>
      <c r="I284" s="76">
        <f t="shared" ca="1" si="38"/>
        <v>0.14418604651164468</v>
      </c>
      <c r="J284" s="76">
        <f t="shared" ca="1" si="39"/>
        <v>11.360834138699419</v>
      </c>
    </row>
    <row r="285" spans="2:10" x14ac:dyDescent="0.2">
      <c r="B285" s="66">
        <f ca="1"/>
        <v>125</v>
      </c>
      <c r="C285" s="46">
        <f t="shared" ca="1" si="33"/>
        <v>1</v>
      </c>
      <c r="D285" s="46">
        <f t="shared" ca="1" si="34"/>
        <v>833</v>
      </c>
      <c r="E285" s="74">
        <f t="shared" ca="1" si="35"/>
        <v>0.99879951980792314</v>
      </c>
      <c r="F285">
        <f t="shared" ca="1" si="36"/>
        <v>0.96860465116279071</v>
      </c>
      <c r="G285" s="76">
        <f t="shared" ca="1" si="37"/>
        <v>0.96860465116279071</v>
      </c>
      <c r="H285" s="76">
        <f ca="1">SUM($G$4:G285)</f>
        <v>104.72886918604651</v>
      </c>
      <c r="I285" s="76">
        <f t="shared" ca="1" si="38"/>
        <v>0.1453488372092776</v>
      </c>
      <c r="J285" s="76">
        <f t="shared" ca="1" si="39"/>
        <v>11.591868826365136</v>
      </c>
    </row>
    <row r="286" spans="2:10" x14ac:dyDescent="0.2">
      <c r="B286" s="66">
        <f ca="1"/>
        <v>126</v>
      </c>
      <c r="C286" s="46">
        <f t="shared" ca="1" si="33"/>
        <v>1</v>
      </c>
      <c r="D286" s="46">
        <f t="shared" ca="1" si="34"/>
        <v>834</v>
      </c>
      <c r="E286" s="74">
        <f t="shared" ca="1" si="35"/>
        <v>0.99880095923261392</v>
      </c>
      <c r="F286">
        <f t="shared" ca="1" si="36"/>
        <v>0.96976744186046515</v>
      </c>
      <c r="G286" s="76">
        <f t="shared" ca="1" si="37"/>
        <v>3.8790697674418606</v>
      </c>
      <c r="H286" s="76">
        <f ca="1">SUM($G$4:G286)</f>
        <v>108.60793895348837</v>
      </c>
      <c r="I286" s="76">
        <f t="shared" ca="1" si="38"/>
        <v>0.1465116279069798</v>
      </c>
      <c r="J286" s="76">
        <f t="shared" ca="1" si="39"/>
        <v>11.825229095431713</v>
      </c>
    </row>
    <row r="287" spans="2:10" x14ac:dyDescent="0.2">
      <c r="B287" s="66">
        <f ca="1"/>
        <v>130</v>
      </c>
      <c r="C287" s="46">
        <f t="shared" ca="1" si="33"/>
        <v>4</v>
      </c>
      <c r="D287" s="46">
        <f t="shared" ca="1" si="34"/>
        <v>838</v>
      </c>
      <c r="E287" s="74">
        <f t="shared" ca="1" si="35"/>
        <v>0.99522673031026254</v>
      </c>
      <c r="F287">
        <f t="shared" ca="1" si="36"/>
        <v>0.97441860465116281</v>
      </c>
      <c r="G287" s="76">
        <f t="shared" ca="1" si="37"/>
        <v>9.4323720930232628</v>
      </c>
      <c r="H287" s="76">
        <f ca="1">SUM($G$4:G287)</f>
        <v>118.04031104651163</v>
      </c>
      <c r="I287" s="76">
        <f t="shared" ca="1" si="38"/>
        <v>0.60465116279069586</v>
      </c>
      <c r="J287" s="76">
        <f t="shared" ca="1" si="39"/>
        <v>51.127703942569411</v>
      </c>
    </row>
    <row r="288" spans="2:10" x14ac:dyDescent="0.2">
      <c r="B288" s="66">
        <f ca="1"/>
        <v>139.68</v>
      </c>
      <c r="C288" s="46">
        <f t="shared" ca="1" si="33"/>
        <v>1</v>
      </c>
      <c r="D288" s="46">
        <f t="shared" ca="1" si="34"/>
        <v>839</v>
      </c>
      <c r="E288" s="74">
        <f t="shared" ca="1" si="35"/>
        <v>0.99880810488676997</v>
      </c>
      <c r="F288">
        <f t="shared" ca="1" si="36"/>
        <v>0.97558139534883725</v>
      </c>
      <c r="G288" s="76">
        <f t="shared" ca="1" si="37"/>
        <v>0.31218604651162124</v>
      </c>
      <c r="H288" s="76">
        <f ca="1">SUM($G$4:G288)</f>
        <v>118.35249709302326</v>
      </c>
      <c r="I288" s="76">
        <f t="shared" ca="1" si="38"/>
        <v>0.1624186046511662</v>
      </c>
      <c r="J288" s="76">
        <f t="shared" ca="1" si="39"/>
        <v>15.251111994836871</v>
      </c>
    </row>
    <row r="289" spans="2:10" x14ac:dyDescent="0.2">
      <c r="B289" s="66">
        <f ca="1"/>
        <v>140</v>
      </c>
      <c r="C289" s="46">
        <f t="shared" ca="1" si="33"/>
        <v>2</v>
      </c>
      <c r="D289" s="46">
        <f t="shared" ca="1" si="34"/>
        <v>841</v>
      </c>
      <c r="E289" s="74">
        <f t="shared" ca="1" si="35"/>
        <v>0.99762187871581454</v>
      </c>
      <c r="F289">
        <f t="shared" ca="1" si="36"/>
        <v>0.97790697674418603</v>
      </c>
      <c r="G289" s="76">
        <f t="shared" ca="1" si="37"/>
        <v>1.0952558139534927</v>
      </c>
      <c r="H289" s="76">
        <f ca="1">SUM($G$4:G289)</f>
        <v>119.44775290697675</v>
      </c>
      <c r="I289" s="76">
        <f t="shared" ca="1" si="38"/>
        <v>0.32558139534882846</v>
      </c>
      <c r="J289" s="76">
        <f t="shared" ca="1" si="39"/>
        <v>30.67291781768742</v>
      </c>
    </row>
    <row r="290" spans="2:10" x14ac:dyDescent="0.2">
      <c r="B290" s="66">
        <f ca="1"/>
        <v>141.12</v>
      </c>
      <c r="C290" s="46">
        <f t="shared" ca="1" si="33"/>
        <v>1</v>
      </c>
      <c r="D290" s="46">
        <f t="shared" ca="1" si="34"/>
        <v>842</v>
      </c>
      <c r="E290" s="74">
        <f t="shared" ca="1" si="35"/>
        <v>0.99881235154394299</v>
      </c>
      <c r="F290">
        <f t="shared" ca="1" si="36"/>
        <v>0.97906976744186069</v>
      </c>
      <c r="G290" s="76">
        <f t="shared" ca="1" si="37"/>
        <v>16.918325581395354</v>
      </c>
      <c r="H290" s="76">
        <f ca="1">SUM($G$4:G290)</f>
        <v>136.3660784883721</v>
      </c>
      <c r="I290" s="76">
        <f t="shared" ca="1" si="38"/>
        <v>0.16409302325584871</v>
      </c>
      <c r="J290" s="76">
        <f t="shared" ca="1" si="39"/>
        <v>15.637048456711145</v>
      </c>
    </row>
    <row r="291" spans="2:10" x14ac:dyDescent="0.2">
      <c r="B291" s="66">
        <f ca="1"/>
        <v>158.4</v>
      </c>
      <c r="C291" s="46">
        <f t="shared" ca="1" si="33"/>
        <v>1</v>
      </c>
      <c r="D291" s="46">
        <f t="shared" ca="1" si="34"/>
        <v>843</v>
      </c>
      <c r="E291" s="74">
        <f t="shared" ca="1" si="35"/>
        <v>0.99881376037959668</v>
      </c>
      <c r="F291">
        <f t="shared" ca="1" si="36"/>
        <v>0.98023255813953503</v>
      </c>
      <c r="G291" s="76">
        <f t="shared" ca="1" si="37"/>
        <v>1.5683720930232505</v>
      </c>
      <c r="H291" s="76">
        <f ca="1">SUM($G$4:G291)</f>
        <v>137.93445058139534</v>
      </c>
      <c r="I291" s="76">
        <f t="shared" ca="1" si="38"/>
        <v>0.18418604651161416</v>
      </c>
      <c r="J291" s="76">
        <f t="shared" ca="1" si="39"/>
        <v>20.644427394510515</v>
      </c>
    </row>
    <row r="292" spans="2:10" x14ac:dyDescent="0.2">
      <c r="B292" s="66">
        <f ca="1"/>
        <v>160</v>
      </c>
      <c r="C292" s="46">
        <f t="shared" ca="1" si="33"/>
        <v>2</v>
      </c>
      <c r="D292" s="46">
        <f t="shared" ca="1" si="34"/>
        <v>845</v>
      </c>
      <c r="E292" s="74">
        <f t="shared" ca="1" si="35"/>
        <v>0.99763313609467452</v>
      </c>
      <c r="F292">
        <f t="shared" ca="1" si="36"/>
        <v>0.98255813953488369</v>
      </c>
      <c r="G292" s="76">
        <f t="shared" ca="1" si="37"/>
        <v>2.9476744186046511</v>
      </c>
      <c r="H292" s="76">
        <f ca="1">SUM($G$4:G292)</f>
        <v>140.882125</v>
      </c>
      <c r="I292" s="76">
        <f t="shared" ca="1" si="38"/>
        <v>0.37209302325578619</v>
      </c>
      <c r="J292" s="76">
        <f t="shared" ca="1" si="39"/>
        <v>42.286398347701315</v>
      </c>
    </row>
    <row r="293" spans="2:10" x14ac:dyDescent="0.2">
      <c r="B293" s="66">
        <f ca="1"/>
        <v>163</v>
      </c>
      <c r="C293" s="46">
        <f t="shared" ca="1" si="33"/>
        <v>1</v>
      </c>
      <c r="D293" s="46">
        <f t="shared" ca="1" si="34"/>
        <v>846</v>
      </c>
      <c r="E293" s="74">
        <f t="shared" ca="1" si="35"/>
        <v>0.99881796690307334</v>
      </c>
      <c r="F293">
        <f t="shared" ca="1" si="36"/>
        <v>0.98372093023255813</v>
      </c>
      <c r="G293" s="76">
        <f t="shared" ca="1" si="37"/>
        <v>4.9186046511627906</v>
      </c>
      <c r="H293" s="76">
        <f ca="1">SUM($G$4:G293)</f>
        <v>145.80072965116278</v>
      </c>
      <c r="I293" s="76">
        <f t="shared" ca="1" si="38"/>
        <v>0.18953488372093419</v>
      </c>
      <c r="J293" s="76">
        <f t="shared" ca="1" si="39"/>
        <v>22.094442771743449</v>
      </c>
    </row>
    <row r="294" spans="2:10" x14ac:dyDescent="0.2">
      <c r="B294" s="66">
        <f ca="1"/>
        <v>168</v>
      </c>
      <c r="C294" s="46">
        <f t="shared" ca="1" si="33"/>
        <v>1</v>
      </c>
      <c r="D294" s="46">
        <f t="shared" ca="1" si="34"/>
        <v>847</v>
      </c>
      <c r="E294" s="74">
        <f t="shared" ca="1" si="35"/>
        <v>0.99881936245572611</v>
      </c>
      <c r="F294">
        <f t="shared" ca="1" si="36"/>
        <v>0.98488372093023246</v>
      </c>
      <c r="G294" s="76">
        <f t="shared" ca="1" si="37"/>
        <v>21.667441860465114</v>
      </c>
      <c r="H294" s="76">
        <f ca="1">SUM($G$4:G294)</f>
        <v>167.4681715116279</v>
      </c>
      <c r="I294" s="76">
        <f t="shared" ca="1" si="38"/>
        <v>0.19534883720928775</v>
      </c>
      <c r="J294" s="76">
        <f t="shared" ca="1" si="39"/>
        <v>23.726360396132783</v>
      </c>
    </row>
    <row r="295" spans="2:10" x14ac:dyDescent="0.2">
      <c r="B295" s="66">
        <f ca="1"/>
        <v>190</v>
      </c>
      <c r="C295" s="46">
        <f t="shared" ca="1" si="33"/>
        <v>1</v>
      </c>
      <c r="D295" s="46">
        <f t="shared" ca="1" si="34"/>
        <v>848</v>
      </c>
      <c r="E295" s="74">
        <f t="shared" ca="1" si="35"/>
        <v>0.99882075471698117</v>
      </c>
      <c r="F295">
        <f t="shared" ca="1" si="36"/>
        <v>0.9860465116279068</v>
      </c>
      <c r="G295" s="76">
        <f t="shared" ca="1" si="37"/>
        <v>9.8604651162790677</v>
      </c>
      <c r="H295" s="76">
        <f ca="1">SUM($G$4:G295)</f>
        <v>177.32863662790697</v>
      </c>
      <c r="I295" s="76">
        <f t="shared" ca="1" si="38"/>
        <v>0.22093023255812305</v>
      </c>
      <c r="J295" s="76">
        <f t="shared" ca="1" si="39"/>
        <v>31.597495617873673</v>
      </c>
    </row>
    <row r="296" spans="2:10" x14ac:dyDescent="0.2">
      <c r="B296" s="66">
        <f ca="1"/>
        <v>200</v>
      </c>
      <c r="C296" s="46">
        <f t="shared" ca="1" si="33"/>
        <v>1</v>
      </c>
      <c r="D296" s="46">
        <f t="shared" ca="1" si="34"/>
        <v>849</v>
      </c>
      <c r="E296" s="74">
        <f t="shared" ca="1" si="35"/>
        <v>0.99882214369846878</v>
      </c>
      <c r="F296">
        <f t="shared" ca="1" si="36"/>
        <v>0.98720930232558135</v>
      </c>
      <c r="G296" s="76">
        <f t="shared" ca="1" si="37"/>
        <v>29.61627906976744</v>
      </c>
      <c r="H296" s="76">
        <f ca="1">SUM($G$4:G296)</f>
        <v>206.94491569767442</v>
      </c>
      <c r="I296" s="76">
        <f t="shared" ca="1" si="38"/>
        <v>0.23255813953491078</v>
      </c>
      <c r="J296" s="76">
        <f t="shared" ca="1" si="39"/>
        <v>35.547377378291202</v>
      </c>
    </row>
    <row r="297" spans="2:10" x14ac:dyDescent="0.2">
      <c r="B297" s="66">
        <f ca="1"/>
        <v>230</v>
      </c>
      <c r="C297" s="46">
        <f t="shared" ca="1" si="33"/>
        <v>1</v>
      </c>
      <c r="D297" s="46">
        <f t="shared" ca="1" si="34"/>
        <v>850</v>
      </c>
      <c r="E297" s="74">
        <f t="shared" ca="1" si="35"/>
        <v>0.99882352941176467</v>
      </c>
      <c r="F297">
        <f t="shared" ca="1" si="36"/>
        <v>0.98837209302325602</v>
      </c>
      <c r="G297" s="76">
        <f t="shared" ca="1" si="37"/>
        <v>19.767441860465119</v>
      </c>
      <c r="H297" s="76">
        <f ca="1">SUM($G$4:G297)</f>
        <v>226.71235755813953</v>
      </c>
      <c r="I297" s="76">
        <f t="shared" ca="1" si="38"/>
        <v>0.26744186046517293</v>
      </c>
      <c r="J297" s="76">
        <f t="shared" ca="1" si="39"/>
        <v>48.792371496739804</v>
      </c>
    </row>
    <row r="298" spans="2:10" x14ac:dyDescent="0.2">
      <c r="B298" s="66">
        <f ca="1"/>
        <v>250</v>
      </c>
      <c r="C298" s="46">
        <f t="shared" ca="1" si="33"/>
        <v>1</v>
      </c>
      <c r="D298" s="46">
        <f t="shared" ca="1" si="34"/>
        <v>851</v>
      </c>
      <c r="E298" s="74">
        <f t="shared" ca="1" si="35"/>
        <v>0.99882491186839018</v>
      </c>
      <c r="F298">
        <f t="shared" ca="1" si="36"/>
        <v>0.98953488372093013</v>
      </c>
      <c r="G298" s="76">
        <f t="shared" ca="1" si="37"/>
        <v>39.581395348837205</v>
      </c>
      <c r="H298" s="76">
        <f ca="1">SUM($G$4:G298)</f>
        <v>266.29375290697675</v>
      </c>
      <c r="I298" s="76">
        <f t="shared" ca="1" si="38"/>
        <v>0.29069767441852745</v>
      </c>
      <c r="J298" s="76">
        <f t="shared" ca="1" si="39"/>
        <v>58.785158273349872</v>
      </c>
    </row>
    <row r="299" spans="2:10" x14ac:dyDescent="0.2">
      <c r="B299" s="66">
        <f ca="1"/>
        <v>290</v>
      </c>
      <c r="C299" s="46">
        <f t="shared" ca="1" si="33"/>
        <v>1</v>
      </c>
      <c r="D299" s="46">
        <f t="shared" ca="1" si="34"/>
        <v>852</v>
      </c>
      <c r="E299" s="74">
        <f t="shared" ca="1" si="35"/>
        <v>0.99882629107981225</v>
      </c>
      <c r="F299">
        <f t="shared" ca="1" si="36"/>
        <v>0.99069767441860457</v>
      </c>
      <c r="G299" s="76">
        <f t="shared" ca="1" si="37"/>
        <v>9.9069767441860463</v>
      </c>
      <c r="H299" s="76">
        <f ca="1">SUM($G$4:G299)</f>
        <v>276.20072965116282</v>
      </c>
      <c r="I299" s="76">
        <f t="shared" ca="1" si="38"/>
        <v>0.33720930232558843</v>
      </c>
      <c r="J299" s="76">
        <f t="shared" ca="1" si="39"/>
        <v>81.561429501057845</v>
      </c>
    </row>
    <row r="300" spans="2:10" x14ac:dyDescent="0.2">
      <c r="B300" s="66">
        <f ca="1"/>
        <v>300</v>
      </c>
      <c r="C300" s="46">
        <f t="shared" ca="1" si="33"/>
        <v>1</v>
      </c>
      <c r="D300" s="46">
        <f t="shared" ca="1" si="34"/>
        <v>853</v>
      </c>
      <c r="E300" s="74">
        <f t="shared" ca="1" si="35"/>
        <v>0.9988276670574443</v>
      </c>
      <c r="F300">
        <f t="shared" ca="1" si="36"/>
        <v>0.99186046511627901</v>
      </c>
      <c r="G300" s="76">
        <f t="shared" ca="1" si="37"/>
        <v>9.9186046511627897</v>
      </c>
      <c r="H300" s="76">
        <f ca="1">SUM($G$4:G300)</f>
        <v>286.11933430232563</v>
      </c>
      <c r="I300" s="76">
        <f t="shared" ca="1" si="38"/>
        <v>0.34883720930233286</v>
      </c>
      <c r="J300" s="76">
        <f t="shared" ca="1" si="39"/>
        <v>87.836892656817838</v>
      </c>
    </row>
    <row r="301" spans="2:10" x14ac:dyDescent="0.2">
      <c r="B301" s="66">
        <f ca="1"/>
        <v>310</v>
      </c>
      <c r="C301" s="46">
        <f t="shared" ca="1" si="33"/>
        <v>1</v>
      </c>
      <c r="D301" s="46">
        <f t="shared" ca="1" si="34"/>
        <v>854</v>
      </c>
      <c r="E301" s="74">
        <f t="shared" ca="1" si="35"/>
        <v>0.99882903981264637</v>
      </c>
      <c r="F301">
        <f t="shared" ca="1" si="36"/>
        <v>0.99302325581395356</v>
      </c>
      <c r="G301" s="76">
        <f t="shared" ca="1" si="37"/>
        <v>59.581395348837212</v>
      </c>
      <c r="H301" s="76">
        <f ca="1">SUM($G$4:G301)</f>
        <v>345.70072965116282</v>
      </c>
      <c r="I301" s="76">
        <f t="shared" ca="1" si="38"/>
        <v>0.36046511627911171</v>
      </c>
      <c r="J301" s="76">
        <f t="shared" ca="1" si="39"/>
        <v>94.344913952121729</v>
      </c>
    </row>
    <row r="302" spans="2:10" x14ac:dyDescent="0.2">
      <c r="B302" s="66">
        <f ca="1"/>
        <v>370</v>
      </c>
      <c r="C302" s="46">
        <f t="shared" ca="1" si="33"/>
        <v>1</v>
      </c>
      <c r="D302" s="46">
        <f t="shared" ca="1" si="34"/>
        <v>855</v>
      </c>
      <c r="E302" s="74">
        <f t="shared" ca="1" si="35"/>
        <v>0.99883040935672518</v>
      </c>
      <c r="F302">
        <f t="shared" ca="1" si="36"/>
        <v>0.9941860465116279</v>
      </c>
      <c r="G302" s="76">
        <f t="shared" ca="1" si="37"/>
        <v>49.709302325581397</v>
      </c>
      <c r="H302" s="76">
        <f ca="1">SUM($G$4:G302)</f>
        <v>395.41003197674422</v>
      </c>
      <c r="I302" s="76">
        <f t="shared" ca="1" si="38"/>
        <v>0.43023255813950279</v>
      </c>
      <c r="J302" s="76">
        <f t="shared" ca="1" si="39"/>
        <v>138.27676265410153</v>
      </c>
    </row>
    <row r="303" spans="2:10" x14ac:dyDescent="0.2">
      <c r="B303" s="66">
        <f ca="1"/>
        <v>420</v>
      </c>
      <c r="C303" s="46">
        <f t="shared" ca="1" si="33"/>
        <v>1</v>
      </c>
      <c r="D303" s="46">
        <f t="shared" ca="1" si="34"/>
        <v>856</v>
      </c>
      <c r="E303" s="74">
        <f t="shared" ca="1" si="35"/>
        <v>0.99883177570093462</v>
      </c>
      <c r="F303">
        <f t="shared" ca="1" si="36"/>
        <v>0.99534883720930234</v>
      </c>
      <c r="G303" s="76">
        <f t="shared" ca="1" si="37"/>
        <v>45.786046511627909</v>
      </c>
      <c r="H303" s="76">
        <f ca="1">SUM($G$4:G303)</f>
        <v>441.19607848837211</v>
      </c>
      <c r="I303" s="76">
        <f t="shared" ca="1" si="38"/>
        <v>0.48837209302326601</v>
      </c>
      <c r="J303" s="76">
        <f t="shared" ca="1" si="39"/>
        <v>181.28198540965917</v>
      </c>
    </row>
    <row r="304" spans="2:10" x14ac:dyDescent="0.2">
      <c r="B304" s="66">
        <f ca="1"/>
        <v>466</v>
      </c>
      <c r="C304" s="46">
        <f t="shared" ca="1" si="33"/>
        <v>1</v>
      </c>
      <c r="D304" s="46">
        <f t="shared" ca="1" si="34"/>
        <v>857</v>
      </c>
      <c r="E304" s="74">
        <f t="shared" ca="1" si="35"/>
        <v>0.99883313885647607</v>
      </c>
      <c r="F304">
        <f t="shared" ca="1" si="36"/>
        <v>0.99651162790697667</v>
      </c>
      <c r="G304" s="76">
        <f t="shared" ca="1" si="37"/>
        <v>33.881395348837209</v>
      </c>
      <c r="H304" s="76">
        <f ca="1">SUM($G$4:G304)</f>
        <v>475.07747383720931</v>
      </c>
      <c r="I304" s="76">
        <f t="shared" ca="1" si="38"/>
        <v>0.54186046511623864</v>
      </c>
      <c r="J304" s="76">
        <f t="shared" ca="1" si="39"/>
        <v>225.98167406566881</v>
      </c>
    </row>
    <row r="305" spans="2:10" x14ac:dyDescent="0.2">
      <c r="B305" s="66">
        <f ca="1"/>
        <v>500</v>
      </c>
      <c r="C305" s="46">
        <f t="shared" ca="1" si="33"/>
        <v>1</v>
      </c>
      <c r="D305" s="46">
        <f t="shared" ca="1" si="34"/>
        <v>858</v>
      </c>
      <c r="E305" s="74">
        <f t="shared" ca="1" si="35"/>
        <v>0.99883449883449882</v>
      </c>
      <c r="F305">
        <f t="shared" ca="1" si="36"/>
        <v>0.99767441860465111</v>
      </c>
      <c r="G305" s="76">
        <f t="shared" ca="1" si="37"/>
        <v>79.813953488372093</v>
      </c>
      <c r="H305" s="76">
        <f ca="1">SUM($G$4:G305)</f>
        <v>554.89142732558139</v>
      </c>
      <c r="I305" s="76">
        <f t="shared" ca="1" si="38"/>
        <v>0.58139534883722144</v>
      </c>
      <c r="J305" s="76">
        <f t="shared" ca="1" si="39"/>
        <v>262.18336507434447</v>
      </c>
    </row>
    <row r="306" spans="2:10" x14ac:dyDescent="0.2">
      <c r="B306" s="66">
        <f ca="1"/>
        <v>580</v>
      </c>
      <c r="C306" s="46">
        <f t="shared" ca="1" si="33"/>
        <v>1</v>
      </c>
      <c r="D306" s="46">
        <f t="shared" ca="1" si="34"/>
        <v>859</v>
      </c>
      <c r="E306" s="74">
        <f t="shared" ca="1" si="35"/>
        <v>0.99883585564610011</v>
      </c>
      <c r="F306">
        <f t="shared" ca="1" si="36"/>
        <v>0.99883720930232556</v>
      </c>
      <c r="G306" s="76">
        <f t="shared" ca="1" si="37"/>
        <v>39.95348837209302</v>
      </c>
      <c r="H306" s="76">
        <f ca="1">SUM($G$4:G306)</f>
        <v>594.84491569767442</v>
      </c>
      <c r="I306" s="76">
        <f t="shared" ca="1" si="38"/>
        <v>0.67441860465117687</v>
      </c>
      <c r="J306" s="76">
        <f t="shared" ca="1" si="39"/>
        <v>357.96846566926263</v>
      </c>
    </row>
    <row r="307" spans="2:10" x14ac:dyDescent="0.2">
      <c r="B307" s="66">
        <f ca="1"/>
        <v>620</v>
      </c>
      <c r="C307" s="46">
        <f t="shared" ca="1" si="33"/>
        <v>1</v>
      </c>
      <c r="D307" s="46">
        <f t="shared" ca="1" si="34"/>
        <v>860</v>
      </c>
      <c r="E307" s="74">
        <f t="shared" ca="1" si="35"/>
        <v>0.99883720930232556</v>
      </c>
      <c r="F307">
        <f t="shared" ca="1" si="36"/>
        <v>1</v>
      </c>
      <c r="G307" s="76">
        <f t="shared" ca="1" si="37"/>
        <v>-620</v>
      </c>
      <c r="H307" s="76">
        <f ca="1">SUM($G$4:G307)</f>
        <v>-25.155084302325577</v>
      </c>
      <c r="I307" s="76">
        <f t="shared" ca="1" si="38"/>
        <v>0.72093023255815458</v>
      </c>
      <c r="J307" s="76">
        <f t="shared" ca="1" si="39"/>
        <v>411.44241131555901</v>
      </c>
    </row>
    <row r="308" spans="2:10" x14ac:dyDescent="0.2">
      <c r="B308" s="66"/>
      <c r="C308" s="46">
        <f t="shared" ca="1" si="33"/>
        <v>0</v>
      </c>
      <c r="D308" s="46">
        <f t="shared" ca="1" si="34"/>
        <v>860</v>
      </c>
      <c r="E308" s="74">
        <f t="shared" ca="1" si="35"/>
        <v>1</v>
      </c>
      <c r="F308">
        <f t="shared" ca="1" si="36"/>
        <v>1</v>
      </c>
      <c r="G308" s="76">
        <f t="shared" ca="1" si="37"/>
        <v>0</v>
      </c>
      <c r="H308" s="76">
        <f ca="1">SUM($G$4:G308)</f>
        <v>-25.155084302325577</v>
      </c>
      <c r="I308" s="76">
        <f t="shared" ca="1" si="38"/>
        <v>0</v>
      </c>
      <c r="J308" s="76">
        <f t="shared" ca="1" si="39"/>
        <v>0</v>
      </c>
    </row>
    <row r="309" spans="2:10" x14ac:dyDescent="0.2">
      <c r="B309" s="66"/>
      <c r="C309" s="46">
        <f t="shared" ca="1" si="33"/>
        <v>0</v>
      </c>
      <c r="D309" s="46">
        <f t="shared" ca="1" si="34"/>
        <v>860</v>
      </c>
      <c r="E309" s="74">
        <f t="shared" ca="1" si="35"/>
        <v>1</v>
      </c>
      <c r="F309">
        <f t="shared" ca="1" si="36"/>
        <v>1</v>
      </c>
      <c r="G309" s="76">
        <f t="shared" ca="1" si="37"/>
        <v>0</v>
      </c>
      <c r="H309" s="76">
        <f ca="1">SUM($G$4:G309)</f>
        <v>-25.155084302325577</v>
      </c>
      <c r="I309" s="76">
        <f t="shared" ca="1" si="38"/>
        <v>0</v>
      </c>
      <c r="J309" s="76">
        <f t="shared" ca="1" si="39"/>
        <v>0</v>
      </c>
    </row>
    <row r="310" spans="2:10" x14ac:dyDescent="0.2">
      <c r="B310" s="66"/>
      <c r="C310" s="46">
        <f t="shared" ca="1" si="33"/>
        <v>0</v>
      </c>
      <c r="D310" s="46">
        <f t="shared" ca="1" si="34"/>
        <v>860</v>
      </c>
      <c r="E310" s="74">
        <f t="shared" ca="1" si="35"/>
        <v>1</v>
      </c>
      <c r="F310">
        <f t="shared" ca="1" si="36"/>
        <v>1</v>
      </c>
      <c r="G310" s="76">
        <f t="shared" ca="1" si="37"/>
        <v>0</v>
      </c>
      <c r="H310" s="76">
        <f ca="1">SUM($G$4:G310)</f>
        <v>-25.155084302325577</v>
      </c>
      <c r="I310" s="76">
        <f t="shared" ca="1" si="38"/>
        <v>0</v>
      </c>
      <c r="J310" s="76">
        <f t="shared" ca="1" si="39"/>
        <v>0</v>
      </c>
    </row>
    <row r="311" spans="2:10" x14ac:dyDescent="0.2">
      <c r="B311" s="66"/>
      <c r="C311" s="46">
        <f t="shared" ca="1" si="33"/>
        <v>0</v>
      </c>
      <c r="D311" s="46">
        <f t="shared" ca="1" si="34"/>
        <v>860</v>
      </c>
      <c r="E311" s="74">
        <f t="shared" ca="1" si="35"/>
        <v>1</v>
      </c>
      <c r="F311">
        <f t="shared" ca="1" si="36"/>
        <v>1</v>
      </c>
      <c r="G311" s="76">
        <f t="shared" ca="1" si="37"/>
        <v>0</v>
      </c>
      <c r="H311" s="76">
        <f ca="1">SUM($G$4:G311)</f>
        <v>-25.155084302325577</v>
      </c>
      <c r="I311" s="76">
        <f t="shared" ca="1" si="38"/>
        <v>0</v>
      </c>
      <c r="J311" s="76">
        <f t="shared" ca="1" si="39"/>
        <v>0</v>
      </c>
    </row>
    <row r="312" spans="2:10" x14ac:dyDescent="0.2">
      <c r="B312" s="66"/>
      <c r="C312" s="46">
        <f t="shared" ca="1" si="33"/>
        <v>0</v>
      </c>
      <c r="D312" s="46">
        <f t="shared" ca="1" si="34"/>
        <v>860</v>
      </c>
      <c r="E312" s="74">
        <f t="shared" ca="1" si="35"/>
        <v>1</v>
      </c>
      <c r="F312">
        <f t="shared" ca="1" si="36"/>
        <v>1</v>
      </c>
      <c r="G312" s="76">
        <f t="shared" ca="1" si="37"/>
        <v>0</v>
      </c>
      <c r="H312" s="76">
        <f ca="1">SUM($G$4:G312)</f>
        <v>-25.155084302325577</v>
      </c>
      <c r="I312" s="76">
        <f t="shared" ca="1" si="38"/>
        <v>0</v>
      </c>
      <c r="J312" s="76">
        <f t="shared" ca="1" si="39"/>
        <v>0</v>
      </c>
    </row>
    <row r="313" spans="2:10" x14ac:dyDescent="0.2">
      <c r="B313" s="66"/>
      <c r="C313" s="46">
        <f t="shared" ca="1" si="33"/>
        <v>0</v>
      </c>
      <c r="D313" s="46">
        <f t="shared" ca="1" si="34"/>
        <v>860</v>
      </c>
      <c r="E313" s="74">
        <f t="shared" ca="1" si="35"/>
        <v>1</v>
      </c>
      <c r="F313">
        <f t="shared" ca="1" si="36"/>
        <v>1</v>
      </c>
      <c r="G313" s="76">
        <f t="shared" ca="1" si="37"/>
        <v>0</v>
      </c>
      <c r="H313" s="76">
        <f ca="1">SUM($G$4:G313)</f>
        <v>-25.155084302325577</v>
      </c>
      <c r="I313" s="76">
        <f t="shared" ca="1" si="38"/>
        <v>0</v>
      </c>
      <c r="J313" s="76">
        <f t="shared" ca="1" si="39"/>
        <v>0</v>
      </c>
    </row>
    <row r="314" spans="2:10" x14ac:dyDescent="0.2">
      <c r="B314" s="66"/>
      <c r="C314" s="46">
        <f t="shared" ca="1" si="33"/>
        <v>0</v>
      </c>
      <c r="D314" s="46">
        <f t="shared" ca="1" si="34"/>
        <v>860</v>
      </c>
      <c r="E314" s="74">
        <f t="shared" ca="1" si="35"/>
        <v>1</v>
      </c>
      <c r="F314">
        <f t="shared" ca="1" si="36"/>
        <v>1</v>
      </c>
      <c r="G314" s="76">
        <f t="shared" ca="1" si="37"/>
        <v>0</v>
      </c>
      <c r="H314" s="76">
        <f ca="1">SUM($G$4:G314)</f>
        <v>-25.155084302325577</v>
      </c>
      <c r="I314" s="76">
        <f t="shared" ca="1" si="38"/>
        <v>0</v>
      </c>
      <c r="J314" s="76">
        <f t="shared" ca="1" si="39"/>
        <v>0</v>
      </c>
    </row>
    <row r="315" spans="2:10" x14ac:dyDescent="0.2">
      <c r="B315" s="66"/>
      <c r="C315" s="46">
        <f t="shared" ca="1" si="33"/>
        <v>0</v>
      </c>
      <c r="D315" s="46">
        <f t="shared" ca="1" si="34"/>
        <v>860</v>
      </c>
      <c r="E315" s="74">
        <f t="shared" ca="1" si="35"/>
        <v>1</v>
      </c>
      <c r="F315">
        <f t="shared" ca="1" si="36"/>
        <v>1</v>
      </c>
      <c r="G315" s="76">
        <f t="shared" ca="1" si="37"/>
        <v>0</v>
      </c>
      <c r="H315" s="76">
        <f ca="1">SUM($G$4:G315)</f>
        <v>-25.155084302325577</v>
      </c>
      <c r="I315" s="76">
        <f t="shared" ca="1" si="38"/>
        <v>0</v>
      </c>
      <c r="J315" s="76">
        <f t="shared" ca="1" si="39"/>
        <v>0</v>
      </c>
    </row>
    <row r="316" spans="2:10" x14ac:dyDescent="0.2">
      <c r="B316" s="66"/>
      <c r="C316" s="46">
        <f t="shared" ca="1" si="33"/>
        <v>0</v>
      </c>
      <c r="D316" s="46">
        <f t="shared" ca="1" si="34"/>
        <v>860</v>
      </c>
      <c r="E316" s="74">
        <f t="shared" ca="1" si="35"/>
        <v>1</v>
      </c>
      <c r="F316">
        <f t="shared" ca="1" si="36"/>
        <v>1</v>
      </c>
      <c r="G316" s="76">
        <f t="shared" ca="1" si="37"/>
        <v>0</v>
      </c>
      <c r="H316" s="76">
        <f ca="1">SUM($G$4:G316)</f>
        <v>-25.155084302325577</v>
      </c>
      <c r="I316" s="76">
        <f t="shared" ca="1" si="38"/>
        <v>0</v>
      </c>
      <c r="J316" s="76">
        <f t="shared" ca="1" si="39"/>
        <v>0</v>
      </c>
    </row>
    <row r="317" spans="2:10" x14ac:dyDescent="0.2">
      <c r="B317" s="66"/>
      <c r="C317" s="46">
        <f t="shared" ca="1" si="33"/>
        <v>0</v>
      </c>
      <c r="D317" s="46">
        <f t="shared" ca="1" si="34"/>
        <v>860</v>
      </c>
      <c r="E317" s="74">
        <f t="shared" ca="1" si="35"/>
        <v>1</v>
      </c>
      <c r="F317">
        <f t="shared" ca="1" si="36"/>
        <v>1</v>
      </c>
      <c r="G317" s="76">
        <f t="shared" ca="1" si="37"/>
        <v>0</v>
      </c>
      <c r="H317" s="76">
        <f ca="1">SUM($G$4:G317)</f>
        <v>-25.155084302325577</v>
      </c>
      <c r="I317" s="76">
        <f t="shared" ca="1" si="38"/>
        <v>0</v>
      </c>
      <c r="J317" s="76">
        <f t="shared" ca="1" si="39"/>
        <v>0</v>
      </c>
    </row>
    <row r="318" spans="2:10" x14ac:dyDescent="0.2">
      <c r="B318" s="66"/>
      <c r="C318" s="46">
        <f t="shared" ca="1" si="33"/>
        <v>0</v>
      </c>
      <c r="D318" s="46">
        <f t="shared" ca="1" si="34"/>
        <v>860</v>
      </c>
      <c r="E318" s="74">
        <f t="shared" ca="1" si="35"/>
        <v>1</v>
      </c>
      <c r="F318">
        <f t="shared" ca="1" si="36"/>
        <v>1</v>
      </c>
      <c r="G318" s="76">
        <f t="shared" ca="1" si="37"/>
        <v>0</v>
      </c>
      <c r="H318" s="76">
        <f ca="1">SUM($G$4:G318)</f>
        <v>-25.155084302325577</v>
      </c>
      <c r="I318" s="76">
        <f t="shared" ca="1" si="38"/>
        <v>0</v>
      </c>
      <c r="J318" s="76">
        <f t="shared" ca="1" si="39"/>
        <v>0</v>
      </c>
    </row>
    <row r="319" spans="2:10" x14ac:dyDescent="0.2">
      <c r="B319" s="66"/>
      <c r="C319" s="46">
        <f t="shared" ca="1" si="33"/>
        <v>0</v>
      </c>
      <c r="D319" s="46">
        <f t="shared" ca="1" si="34"/>
        <v>860</v>
      </c>
      <c r="E319" s="74">
        <f t="shared" ca="1" si="35"/>
        <v>1</v>
      </c>
      <c r="F319">
        <f t="shared" ca="1" si="36"/>
        <v>1</v>
      </c>
      <c r="G319" s="76">
        <f t="shared" ca="1" si="37"/>
        <v>0</v>
      </c>
      <c r="H319" s="76">
        <f ca="1">SUM($G$4:G319)</f>
        <v>-25.155084302325577</v>
      </c>
      <c r="I319" s="76">
        <f t="shared" ca="1" si="38"/>
        <v>0</v>
      </c>
      <c r="J319" s="76">
        <f t="shared" ca="1" si="39"/>
        <v>0</v>
      </c>
    </row>
    <row r="320" spans="2:10" x14ac:dyDescent="0.2">
      <c r="B320" s="66"/>
      <c r="C320" s="46">
        <f t="shared" ca="1" si="33"/>
        <v>0</v>
      </c>
      <c r="D320" s="46">
        <f t="shared" ca="1" si="34"/>
        <v>860</v>
      </c>
      <c r="E320" s="74">
        <f t="shared" ca="1" si="35"/>
        <v>1</v>
      </c>
      <c r="F320">
        <f t="shared" ca="1" si="36"/>
        <v>1</v>
      </c>
      <c r="G320" s="76">
        <f t="shared" ca="1" si="37"/>
        <v>0</v>
      </c>
      <c r="H320" s="76">
        <f ca="1">SUM($G$4:G320)</f>
        <v>-25.155084302325577</v>
      </c>
      <c r="I320" s="76">
        <f t="shared" ca="1" si="38"/>
        <v>0</v>
      </c>
      <c r="J320" s="76">
        <f t="shared" ca="1" si="39"/>
        <v>0</v>
      </c>
    </row>
    <row r="321" spans="2:10" x14ac:dyDescent="0.2">
      <c r="B321" s="66"/>
      <c r="C321" s="46">
        <f t="shared" ca="1" si="33"/>
        <v>0</v>
      </c>
      <c r="D321" s="46">
        <f t="shared" ca="1" si="34"/>
        <v>860</v>
      </c>
      <c r="E321" s="74">
        <f t="shared" ca="1" si="35"/>
        <v>1</v>
      </c>
      <c r="F321">
        <f t="shared" ca="1" si="36"/>
        <v>1</v>
      </c>
      <c r="G321" s="76">
        <f t="shared" ca="1" si="37"/>
        <v>0</v>
      </c>
      <c r="H321" s="76">
        <f ca="1">SUM($G$4:G321)</f>
        <v>-25.155084302325577</v>
      </c>
      <c r="I321" s="76">
        <f t="shared" ca="1" si="38"/>
        <v>0</v>
      </c>
      <c r="J321" s="76">
        <f t="shared" ca="1" si="39"/>
        <v>0</v>
      </c>
    </row>
    <row r="322" spans="2:10" x14ac:dyDescent="0.2">
      <c r="B322" s="66"/>
      <c r="C322" s="46">
        <f t="shared" ca="1" si="33"/>
        <v>0</v>
      </c>
      <c r="D322" s="46">
        <f t="shared" ca="1" si="34"/>
        <v>860</v>
      </c>
      <c r="E322" s="74">
        <f t="shared" ca="1" si="35"/>
        <v>1</v>
      </c>
      <c r="F322">
        <f t="shared" ca="1" si="36"/>
        <v>1</v>
      </c>
      <c r="G322" s="76">
        <f t="shared" ca="1" si="37"/>
        <v>0</v>
      </c>
      <c r="H322" s="76">
        <f ca="1">SUM($G$4:G322)</f>
        <v>-25.155084302325577</v>
      </c>
      <c r="I322" s="76">
        <f t="shared" ca="1" si="38"/>
        <v>0</v>
      </c>
      <c r="J322" s="76">
        <f t="shared" ca="1" si="39"/>
        <v>0</v>
      </c>
    </row>
    <row r="323" spans="2:10" x14ac:dyDescent="0.2">
      <c r="B323" s="66"/>
      <c r="C323" s="46">
        <f t="shared" ca="1" si="33"/>
        <v>0</v>
      </c>
      <c r="D323" s="46">
        <f t="shared" ca="1" si="34"/>
        <v>860</v>
      </c>
      <c r="E323" s="74">
        <f t="shared" ca="1" si="35"/>
        <v>1</v>
      </c>
      <c r="F323">
        <f t="shared" ca="1" si="36"/>
        <v>1</v>
      </c>
      <c r="G323" s="76">
        <f t="shared" ca="1" si="37"/>
        <v>0</v>
      </c>
      <c r="H323" s="76">
        <f ca="1">SUM($G$4:G323)</f>
        <v>-25.155084302325577</v>
      </c>
      <c r="I323" s="76">
        <f t="shared" ca="1" si="38"/>
        <v>0</v>
      </c>
      <c r="J323" s="76">
        <f t="shared" ca="1" si="39"/>
        <v>0</v>
      </c>
    </row>
    <row r="324" spans="2:10" x14ac:dyDescent="0.2">
      <c r="B324" s="66"/>
      <c r="C324" s="46">
        <f t="shared" ref="C324:C387" ca="1" si="40">COUNTIF(RAW_DATA,B324)</f>
        <v>0</v>
      </c>
      <c r="D324" s="46">
        <f t="shared" ca="1" si="34"/>
        <v>860</v>
      </c>
      <c r="E324" s="74">
        <f t="shared" ca="1" si="35"/>
        <v>1</v>
      </c>
      <c r="F324">
        <f t="shared" ca="1" si="36"/>
        <v>1</v>
      </c>
      <c r="G324" s="76">
        <f t="shared" ca="1" si="37"/>
        <v>0</v>
      </c>
      <c r="H324" s="76">
        <f ca="1">SUM($G$4:G324)</f>
        <v>-25.155084302325577</v>
      </c>
      <c r="I324" s="76">
        <f t="shared" ca="1" si="38"/>
        <v>0</v>
      </c>
      <c r="J324" s="76">
        <f t="shared" ca="1" si="39"/>
        <v>0</v>
      </c>
    </row>
    <row r="325" spans="2:10" x14ac:dyDescent="0.2">
      <c r="B325" s="66"/>
      <c r="C325" s="46">
        <f t="shared" ca="1" si="40"/>
        <v>0</v>
      </c>
      <c r="D325" s="46">
        <f t="shared" ref="D325:D388" ca="1" si="41">COUNTIF(ALL_DATA,B325)+D324</f>
        <v>860</v>
      </c>
      <c r="E325" s="74">
        <f t="shared" ref="E325:E388" ca="1" si="42">1-C325/D325</f>
        <v>1</v>
      </c>
      <c r="F325">
        <f t="shared" ref="F325:F388" ca="1" si="43">PRODUCT(E326:E1176)</f>
        <v>1</v>
      </c>
      <c r="G325" s="76">
        <f t="shared" ref="G325:G388" ca="1" si="44">(B326-B325)*F325</f>
        <v>0</v>
      </c>
      <c r="H325" s="76">
        <f ca="1">SUM($G$4:G325)</f>
        <v>-25.155084302325577</v>
      </c>
      <c r="I325" s="76">
        <f t="shared" ca="1" si="38"/>
        <v>0</v>
      </c>
      <c r="J325" s="76">
        <f t="shared" ca="1" si="39"/>
        <v>0</v>
      </c>
    </row>
    <row r="326" spans="2:10" x14ac:dyDescent="0.2">
      <c r="B326" s="66"/>
      <c r="C326" s="46">
        <f t="shared" ca="1" si="40"/>
        <v>0</v>
      </c>
      <c r="D326" s="46">
        <f t="shared" ca="1" si="41"/>
        <v>860</v>
      </c>
      <c r="E326" s="74">
        <f t="shared" ca="1" si="42"/>
        <v>1</v>
      </c>
      <c r="F326">
        <f t="shared" ca="1" si="43"/>
        <v>1</v>
      </c>
      <c r="G326" s="76">
        <f t="shared" ca="1" si="44"/>
        <v>0</v>
      </c>
      <c r="H326" s="76">
        <f ca="1">SUM($G$4:G326)</f>
        <v>-25.155084302325577</v>
      </c>
      <c r="I326" s="76">
        <f t="shared" ref="I326:I389" ca="1" si="45">B326*(F326-F325)</f>
        <v>0</v>
      </c>
      <c r="J326" s="76">
        <f t="shared" ref="J326:J389" ca="1" si="46">POWER(B326-$M$3,2)*(F326-F325)</f>
        <v>0</v>
      </c>
    </row>
    <row r="327" spans="2:10" x14ac:dyDescent="0.2">
      <c r="B327" s="66"/>
      <c r="C327" s="46">
        <f t="shared" ca="1" si="40"/>
        <v>0</v>
      </c>
      <c r="D327" s="46">
        <f t="shared" ca="1" si="41"/>
        <v>860</v>
      </c>
      <c r="E327" s="74">
        <f t="shared" ca="1" si="42"/>
        <v>1</v>
      </c>
      <c r="F327">
        <f t="shared" ca="1" si="43"/>
        <v>1</v>
      </c>
      <c r="G327" s="76">
        <f t="shared" ca="1" si="44"/>
        <v>0</v>
      </c>
      <c r="H327" s="76">
        <f ca="1">SUM($G$4:G327)</f>
        <v>-25.155084302325577</v>
      </c>
      <c r="I327" s="76">
        <f t="shared" ca="1" si="45"/>
        <v>0</v>
      </c>
      <c r="J327" s="76">
        <f t="shared" ca="1" si="46"/>
        <v>0</v>
      </c>
    </row>
    <row r="328" spans="2:10" x14ac:dyDescent="0.2">
      <c r="B328" s="66"/>
      <c r="C328" s="46">
        <f t="shared" ca="1" si="40"/>
        <v>0</v>
      </c>
      <c r="D328" s="46">
        <f t="shared" ca="1" si="41"/>
        <v>860</v>
      </c>
      <c r="E328" s="74">
        <f t="shared" ca="1" si="42"/>
        <v>1</v>
      </c>
      <c r="F328">
        <f t="shared" ca="1" si="43"/>
        <v>1</v>
      </c>
      <c r="G328" s="76">
        <f t="shared" ca="1" si="44"/>
        <v>0</v>
      </c>
      <c r="H328" s="76">
        <f ca="1">SUM($G$4:G328)</f>
        <v>-25.155084302325577</v>
      </c>
      <c r="I328" s="76">
        <f t="shared" ca="1" si="45"/>
        <v>0</v>
      </c>
      <c r="J328" s="76">
        <f t="shared" ca="1" si="46"/>
        <v>0</v>
      </c>
    </row>
    <row r="329" spans="2:10" x14ac:dyDescent="0.2">
      <c r="B329" s="66"/>
      <c r="C329" s="46">
        <f t="shared" ca="1" si="40"/>
        <v>0</v>
      </c>
      <c r="D329" s="46">
        <f t="shared" ca="1" si="41"/>
        <v>860</v>
      </c>
      <c r="E329" s="74">
        <f t="shared" ca="1" si="42"/>
        <v>1</v>
      </c>
      <c r="F329">
        <f t="shared" ca="1" si="43"/>
        <v>1</v>
      </c>
      <c r="G329" s="76">
        <f t="shared" ca="1" si="44"/>
        <v>0</v>
      </c>
      <c r="H329" s="76">
        <f ca="1">SUM($G$4:G329)</f>
        <v>-25.155084302325577</v>
      </c>
      <c r="I329" s="76">
        <f t="shared" ca="1" si="45"/>
        <v>0</v>
      </c>
      <c r="J329" s="76">
        <f t="shared" ca="1" si="46"/>
        <v>0</v>
      </c>
    </row>
    <row r="330" spans="2:10" x14ac:dyDescent="0.2">
      <c r="B330" s="66"/>
      <c r="C330" s="46">
        <f t="shared" ca="1" si="40"/>
        <v>0</v>
      </c>
      <c r="D330" s="46">
        <f t="shared" ca="1" si="41"/>
        <v>860</v>
      </c>
      <c r="E330" s="74">
        <f t="shared" ca="1" si="42"/>
        <v>1</v>
      </c>
      <c r="F330">
        <f t="shared" ca="1" si="43"/>
        <v>1</v>
      </c>
      <c r="G330" s="76">
        <f t="shared" ca="1" si="44"/>
        <v>0</v>
      </c>
      <c r="H330" s="76">
        <f ca="1">SUM($G$4:G330)</f>
        <v>-25.155084302325577</v>
      </c>
      <c r="I330" s="76">
        <f t="shared" ca="1" si="45"/>
        <v>0</v>
      </c>
      <c r="J330" s="76">
        <f t="shared" ca="1" si="46"/>
        <v>0</v>
      </c>
    </row>
    <row r="331" spans="2:10" x14ac:dyDescent="0.2">
      <c r="B331" s="66"/>
      <c r="C331" s="46">
        <f t="shared" ca="1" si="40"/>
        <v>0</v>
      </c>
      <c r="D331" s="46">
        <f t="shared" ca="1" si="41"/>
        <v>860</v>
      </c>
      <c r="E331" s="74">
        <f t="shared" ca="1" si="42"/>
        <v>1</v>
      </c>
      <c r="F331">
        <f t="shared" ca="1" si="43"/>
        <v>1</v>
      </c>
      <c r="G331" s="76">
        <f t="shared" ca="1" si="44"/>
        <v>0</v>
      </c>
      <c r="H331" s="76">
        <f ca="1">SUM($G$4:G331)</f>
        <v>-25.155084302325577</v>
      </c>
      <c r="I331" s="76">
        <f t="shared" ca="1" si="45"/>
        <v>0</v>
      </c>
      <c r="J331" s="76">
        <f t="shared" ca="1" si="46"/>
        <v>0</v>
      </c>
    </row>
    <row r="332" spans="2:10" x14ac:dyDescent="0.2">
      <c r="B332" s="66"/>
      <c r="C332" s="46">
        <f t="shared" ca="1" si="40"/>
        <v>0</v>
      </c>
      <c r="D332" s="46">
        <f t="shared" ca="1" si="41"/>
        <v>860</v>
      </c>
      <c r="E332" s="74">
        <f t="shared" ca="1" si="42"/>
        <v>1</v>
      </c>
      <c r="F332">
        <f t="shared" ca="1" si="43"/>
        <v>1</v>
      </c>
      <c r="G332" s="76">
        <f t="shared" ca="1" si="44"/>
        <v>0</v>
      </c>
      <c r="H332" s="76">
        <f ca="1">SUM($G$4:G332)</f>
        <v>-25.155084302325577</v>
      </c>
      <c r="I332" s="76">
        <f t="shared" ca="1" si="45"/>
        <v>0</v>
      </c>
      <c r="J332" s="76">
        <f t="shared" ca="1" si="46"/>
        <v>0</v>
      </c>
    </row>
    <row r="333" spans="2:10" x14ac:dyDescent="0.2">
      <c r="B333" s="66"/>
      <c r="C333" s="46">
        <f t="shared" ca="1" si="40"/>
        <v>0</v>
      </c>
      <c r="D333" s="46">
        <f t="shared" ca="1" si="41"/>
        <v>860</v>
      </c>
      <c r="E333" s="74">
        <f t="shared" ca="1" si="42"/>
        <v>1</v>
      </c>
      <c r="F333">
        <f t="shared" ca="1" si="43"/>
        <v>1</v>
      </c>
      <c r="G333" s="76">
        <f t="shared" ca="1" si="44"/>
        <v>0</v>
      </c>
      <c r="H333" s="76">
        <f ca="1">SUM($G$4:G333)</f>
        <v>-25.155084302325577</v>
      </c>
      <c r="I333" s="76">
        <f t="shared" ca="1" si="45"/>
        <v>0</v>
      </c>
      <c r="J333" s="76">
        <f t="shared" ca="1" si="46"/>
        <v>0</v>
      </c>
    </row>
    <row r="334" spans="2:10" x14ac:dyDescent="0.2">
      <c r="B334" s="66"/>
      <c r="C334" s="46">
        <f t="shared" ca="1" si="40"/>
        <v>0</v>
      </c>
      <c r="D334" s="46">
        <f t="shared" ca="1" si="41"/>
        <v>860</v>
      </c>
      <c r="E334" s="74">
        <f t="shared" ca="1" si="42"/>
        <v>1</v>
      </c>
      <c r="F334">
        <f t="shared" ca="1" si="43"/>
        <v>1</v>
      </c>
      <c r="G334" s="76">
        <f t="shared" ca="1" si="44"/>
        <v>0</v>
      </c>
      <c r="H334" s="76">
        <f ca="1">SUM($G$4:G334)</f>
        <v>-25.155084302325577</v>
      </c>
      <c r="I334" s="76">
        <f t="shared" ca="1" si="45"/>
        <v>0</v>
      </c>
      <c r="J334" s="76">
        <f t="shared" ca="1" si="46"/>
        <v>0</v>
      </c>
    </row>
    <row r="335" spans="2:10" x14ac:dyDescent="0.2">
      <c r="B335" s="66"/>
      <c r="C335" s="46">
        <f t="shared" ca="1" si="40"/>
        <v>0</v>
      </c>
      <c r="D335" s="46">
        <f t="shared" ca="1" si="41"/>
        <v>860</v>
      </c>
      <c r="E335" s="74">
        <f t="shared" ca="1" si="42"/>
        <v>1</v>
      </c>
      <c r="F335">
        <f t="shared" ca="1" si="43"/>
        <v>1</v>
      </c>
      <c r="G335" s="76">
        <f t="shared" ca="1" si="44"/>
        <v>0</v>
      </c>
      <c r="H335" s="76">
        <f ca="1">SUM($G$4:G335)</f>
        <v>-25.155084302325577</v>
      </c>
      <c r="I335" s="76">
        <f t="shared" ca="1" si="45"/>
        <v>0</v>
      </c>
      <c r="J335" s="76">
        <f t="shared" ca="1" si="46"/>
        <v>0</v>
      </c>
    </row>
    <row r="336" spans="2:10" x14ac:dyDescent="0.2">
      <c r="B336" s="66"/>
      <c r="C336" s="46">
        <f t="shared" ca="1" si="40"/>
        <v>0</v>
      </c>
      <c r="D336" s="46">
        <f t="shared" ca="1" si="41"/>
        <v>860</v>
      </c>
      <c r="E336" s="74">
        <f t="shared" ca="1" si="42"/>
        <v>1</v>
      </c>
      <c r="F336">
        <f t="shared" ca="1" si="43"/>
        <v>1</v>
      </c>
      <c r="G336" s="76">
        <f t="shared" ca="1" si="44"/>
        <v>0</v>
      </c>
      <c r="H336" s="76">
        <f ca="1">SUM($G$4:G336)</f>
        <v>-25.155084302325577</v>
      </c>
      <c r="I336" s="76">
        <f t="shared" ca="1" si="45"/>
        <v>0</v>
      </c>
      <c r="J336" s="76">
        <f t="shared" ca="1" si="46"/>
        <v>0</v>
      </c>
    </row>
    <row r="337" spans="2:10" x14ac:dyDescent="0.2">
      <c r="B337" s="66"/>
      <c r="C337" s="46">
        <f t="shared" ca="1" si="40"/>
        <v>0</v>
      </c>
      <c r="D337" s="46">
        <f t="shared" ca="1" si="41"/>
        <v>860</v>
      </c>
      <c r="E337" s="74">
        <f t="shared" ca="1" si="42"/>
        <v>1</v>
      </c>
      <c r="F337">
        <f t="shared" ca="1" si="43"/>
        <v>1</v>
      </c>
      <c r="G337" s="76">
        <f t="shared" ca="1" si="44"/>
        <v>0</v>
      </c>
      <c r="H337" s="76">
        <f ca="1">SUM($G$4:G337)</f>
        <v>-25.155084302325577</v>
      </c>
      <c r="I337" s="76">
        <f t="shared" ca="1" si="45"/>
        <v>0</v>
      </c>
      <c r="J337" s="76">
        <f t="shared" ca="1" si="46"/>
        <v>0</v>
      </c>
    </row>
    <row r="338" spans="2:10" x14ac:dyDescent="0.2">
      <c r="B338" s="66"/>
      <c r="C338" s="46">
        <f t="shared" ca="1" si="40"/>
        <v>0</v>
      </c>
      <c r="D338" s="46">
        <f t="shared" ca="1" si="41"/>
        <v>860</v>
      </c>
      <c r="E338" s="74">
        <f t="shared" ca="1" si="42"/>
        <v>1</v>
      </c>
      <c r="F338">
        <f t="shared" ca="1" si="43"/>
        <v>1</v>
      </c>
      <c r="G338" s="76">
        <f t="shared" ca="1" si="44"/>
        <v>0</v>
      </c>
      <c r="H338" s="76">
        <f ca="1">SUM($G$4:G338)</f>
        <v>-25.155084302325577</v>
      </c>
      <c r="I338" s="76">
        <f t="shared" ca="1" si="45"/>
        <v>0</v>
      </c>
      <c r="J338" s="76">
        <f t="shared" ca="1" si="46"/>
        <v>0</v>
      </c>
    </row>
    <row r="339" spans="2:10" x14ac:dyDescent="0.2">
      <c r="B339" s="66"/>
      <c r="C339" s="46">
        <f t="shared" ca="1" si="40"/>
        <v>0</v>
      </c>
      <c r="D339" s="46">
        <f t="shared" ca="1" si="41"/>
        <v>860</v>
      </c>
      <c r="E339" s="74">
        <f t="shared" ca="1" si="42"/>
        <v>1</v>
      </c>
      <c r="F339">
        <f t="shared" ca="1" si="43"/>
        <v>1</v>
      </c>
      <c r="G339" s="76">
        <f t="shared" ca="1" si="44"/>
        <v>0</v>
      </c>
      <c r="H339" s="76">
        <f ca="1">SUM($G$4:G339)</f>
        <v>-25.155084302325577</v>
      </c>
      <c r="I339" s="76">
        <f t="shared" ca="1" si="45"/>
        <v>0</v>
      </c>
      <c r="J339" s="76">
        <f t="shared" ca="1" si="46"/>
        <v>0</v>
      </c>
    </row>
    <row r="340" spans="2:10" x14ac:dyDescent="0.2">
      <c r="B340" s="66"/>
      <c r="C340" s="46">
        <f t="shared" ca="1" si="40"/>
        <v>0</v>
      </c>
      <c r="D340" s="46">
        <f t="shared" ca="1" si="41"/>
        <v>860</v>
      </c>
      <c r="E340" s="74">
        <f t="shared" ca="1" si="42"/>
        <v>1</v>
      </c>
      <c r="F340">
        <f t="shared" ca="1" si="43"/>
        <v>1</v>
      </c>
      <c r="G340" s="76">
        <f t="shared" ca="1" si="44"/>
        <v>0</v>
      </c>
      <c r="H340" s="76">
        <f ca="1">SUM($G$4:G340)</f>
        <v>-25.155084302325577</v>
      </c>
      <c r="I340" s="76">
        <f t="shared" ca="1" si="45"/>
        <v>0</v>
      </c>
      <c r="J340" s="76">
        <f t="shared" ca="1" si="46"/>
        <v>0</v>
      </c>
    </row>
    <row r="341" spans="2:10" x14ac:dyDescent="0.2">
      <c r="B341" s="66"/>
      <c r="C341" s="46">
        <f t="shared" ca="1" si="40"/>
        <v>0</v>
      </c>
      <c r="D341" s="46">
        <f t="shared" ca="1" si="41"/>
        <v>860</v>
      </c>
      <c r="E341" s="74">
        <f t="shared" ca="1" si="42"/>
        <v>1</v>
      </c>
      <c r="F341">
        <f t="shared" ca="1" si="43"/>
        <v>1</v>
      </c>
      <c r="G341" s="76">
        <f t="shared" ca="1" si="44"/>
        <v>0</v>
      </c>
      <c r="H341" s="76">
        <f ca="1">SUM($G$4:G341)</f>
        <v>-25.155084302325577</v>
      </c>
      <c r="I341" s="76">
        <f t="shared" ca="1" si="45"/>
        <v>0</v>
      </c>
      <c r="J341" s="76">
        <f t="shared" ca="1" si="46"/>
        <v>0</v>
      </c>
    </row>
    <row r="342" spans="2:10" x14ac:dyDescent="0.2">
      <c r="B342" s="66"/>
      <c r="C342" s="46">
        <f t="shared" ca="1" si="40"/>
        <v>0</v>
      </c>
      <c r="D342" s="46">
        <f t="shared" ca="1" si="41"/>
        <v>860</v>
      </c>
      <c r="E342" s="74">
        <f t="shared" ca="1" si="42"/>
        <v>1</v>
      </c>
      <c r="F342">
        <f t="shared" ca="1" si="43"/>
        <v>1</v>
      </c>
      <c r="G342" s="76">
        <f t="shared" ca="1" si="44"/>
        <v>0</v>
      </c>
      <c r="H342" s="76">
        <f ca="1">SUM($G$4:G342)</f>
        <v>-25.155084302325577</v>
      </c>
      <c r="I342" s="76">
        <f t="shared" ca="1" si="45"/>
        <v>0</v>
      </c>
      <c r="J342" s="76">
        <f t="shared" ca="1" si="46"/>
        <v>0</v>
      </c>
    </row>
    <row r="343" spans="2:10" x14ac:dyDescent="0.2">
      <c r="B343" s="66"/>
      <c r="C343" s="46">
        <f t="shared" ca="1" si="40"/>
        <v>0</v>
      </c>
      <c r="D343" s="46">
        <f t="shared" ca="1" si="41"/>
        <v>860</v>
      </c>
      <c r="E343" s="74">
        <f t="shared" ca="1" si="42"/>
        <v>1</v>
      </c>
      <c r="F343">
        <f t="shared" ca="1" si="43"/>
        <v>1</v>
      </c>
      <c r="G343" s="76">
        <f t="shared" ca="1" si="44"/>
        <v>0</v>
      </c>
      <c r="H343" s="76">
        <f ca="1">SUM($G$4:G343)</f>
        <v>-25.155084302325577</v>
      </c>
      <c r="I343" s="76">
        <f t="shared" ca="1" si="45"/>
        <v>0</v>
      </c>
      <c r="J343" s="76">
        <f t="shared" ca="1" si="46"/>
        <v>0</v>
      </c>
    </row>
    <row r="344" spans="2:10" x14ac:dyDescent="0.2">
      <c r="B344" s="66"/>
      <c r="C344" s="46">
        <f t="shared" ca="1" si="40"/>
        <v>0</v>
      </c>
      <c r="D344" s="46">
        <f t="shared" ca="1" si="41"/>
        <v>860</v>
      </c>
      <c r="E344" s="74">
        <f t="shared" ca="1" si="42"/>
        <v>1</v>
      </c>
      <c r="F344">
        <f t="shared" ca="1" si="43"/>
        <v>1</v>
      </c>
      <c r="G344" s="76">
        <f t="shared" ca="1" si="44"/>
        <v>0</v>
      </c>
      <c r="H344" s="76">
        <f ca="1">SUM($G$4:G344)</f>
        <v>-25.155084302325577</v>
      </c>
      <c r="I344" s="76">
        <f t="shared" ca="1" si="45"/>
        <v>0</v>
      </c>
      <c r="J344" s="76">
        <f t="shared" ca="1" si="46"/>
        <v>0</v>
      </c>
    </row>
    <row r="345" spans="2:10" x14ac:dyDescent="0.2">
      <c r="B345" s="66"/>
      <c r="C345" s="46">
        <f t="shared" ca="1" si="40"/>
        <v>0</v>
      </c>
      <c r="D345" s="46">
        <f t="shared" ca="1" si="41"/>
        <v>860</v>
      </c>
      <c r="E345" s="74">
        <f t="shared" ca="1" si="42"/>
        <v>1</v>
      </c>
      <c r="F345">
        <f t="shared" ca="1" si="43"/>
        <v>1</v>
      </c>
      <c r="G345" s="76">
        <f t="shared" ca="1" si="44"/>
        <v>0</v>
      </c>
      <c r="H345" s="76">
        <f ca="1">SUM($G$4:G345)</f>
        <v>-25.155084302325577</v>
      </c>
      <c r="I345" s="76">
        <f t="shared" ca="1" si="45"/>
        <v>0</v>
      </c>
      <c r="J345" s="76">
        <f t="shared" ca="1" si="46"/>
        <v>0</v>
      </c>
    </row>
    <row r="346" spans="2:10" x14ac:dyDescent="0.2">
      <c r="B346" s="66"/>
      <c r="C346" s="46">
        <f t="shared" ca="1" si="40"/>
        <v>0</v>
      </c>
      <c r="D346" s="46">
        <f t="shared" ca="1" si="41"/>
        <v>860</v>
      </c>
      <c r="E346" s="74">
        <f t="shared" ca="1" si="42"/>
        <v>1</v>
      </c>
      <c r="F346">
        <f t="shared" ca="1" si="43"/>
        <v>1</v>
      </c>
      <c r="G346" s="76">
        <f t="shared" ca="1" si="44"/>
        <v>0</v>
      </c>
      <c r="H346" s="76">
        <f ca="1">SUM($G$4:G346)</f>
        <v>-25.155084302325577</v>
      </c>
      <c r="I346" s="76">
        <f t="shared" ca="1" si="45"/>
        <v>0</v>
      </c>
      <c r="J346" s="76">
        <f t="shared" ca="1" si="46"/>
        <v>0</v>
      </c>
    </row>
    <row r="347" spans="2:10" x14ac:dyDescent="0.2">
      <c r="B347" s="66"/>
      <c r="C347" s="46">
        <f t="shared" ca="1" si="40"/>
        <v>0</v>
      </c>
      <c r="D347" s="46">
        <f t="shared" ca="1" si="41"/>
        <v>860</v>
      </c>
      <c r="E347" s="74">
        <f t="shared" ca="1" si="42"/>
        <v>1</v>
      </c>
      <c r="F347">
        <f t="shared" ca="1" si="43"/>
        <v>1</v>
      </c>
      <c r="G347" s="76">
        <f t="shared" ca="1" si="44"/>
        <v>0</v>
      </c>
      <c r="H347" s="76">
        <f ca="1">SUM($G$4:G347)</f>
        <v>-25.155084302325577</v>
      </c>
      <c r="I347" s="76">
        <f t="shared" ca="1" si="45"/>
        <v>0</v>
      </c>
      <c r="J347" s="76">
        <f t="shared" ca="1" si="46"/>
        <v>0</v>
      </c>
    </row>
    <row r="348" spans="2:10" x14ac:dyDescent="0.2">
      <c r="B348" s="66"/>
      <c r="C348" s="46">
        <f t="shared" ca="1" si="40"/>
        <v>0</v>
      </c>
      <c r="D348" s="46">
        <f t="shared" ca="1" si="41"/>
        <v>860</v>
      </c>
      <c r="E348" s="74">
        <f t="shared" ca="1" si="42"/>
        <v>1</v>
      </c>
      <c r="F348">
        <f t="shared" ca="1" si="43"/>
        <v>1</v>
      </c>
      <c r="G348" s="76">
        <f t="shared" ca="1" si="44"/>
        <v>0</v>
      </c>
      <c r="H348" s="76">
        <f ca="1">SUM($G$4:G348)</f>
        <v>-25.155084302325577</v>
      </c>
      <c r="I348" s="76">
        <f t="shared" ca="1" si="45"/>
        <v>0</v>
      </c>
      <c r="J348" s="76">
        <f t="shared" ca="1" si="46"/>
        <v>0</v>
      </c>
    </row>
    <row r="349" spans="2:10" x14ac:dyDescent="0.2">
      <c r="B349" s="66"/>
      <c r="C349" s="46">
        <f t="shared" ca="1" si="40"/>
        <v>0</v>
      </c>
      <c r="D349" s="46">
        <f t="shared" ca="1" si="41"/>
        <v>860</v>
      </c>
      <c r="E349" s="74">
        <f t="shared" ca="1" si="42"/>
        <v>1</v>
      </c>
      <c r="F349">
        <f t="shared" ca="1" si="43"/>
        <v>1</v>
      </c>
      <c r="G349" s="76">
        <f t="shared" ca="1" si="44"/>
        <v>0</v>
      </c>
      <c r="H349" s="76">
        <f ca="1">SUM($G$4:G349)</f>
        <v>-25.155084302325577</v>
      </c>
      <c r="I349" s="76">
        <f t="shared" ca="1" si="45"/>
        <v>0</v>
      </c>
      <c r="J349" s="76">
        <f t="shared" ca="1" si="46"/>
        <v>0</v>
      </c>
    </row>
    <row r="350" spans="2:10" x14ac:dyDescent="0.2">
      <c r="B350" s="66"/>
      <c r="C350" s="46">
        <f t="shared" ca="1" si="40"/>
        <v>0</v>
      </c>
      <c r="D350" s="46">
        <f t="shared" ca="1" si="41"/>
        <v>860</v>
      </c>
      <c r="E350" s="74">
        <f t="shared" ca="1" si="42"/>
        <v>1</v>
      </c>
      <c r="F350">
        <f t="shared" ca="1" si="43"/>
        <v>1</v>
      </c>
      <c r="G350" s="76">
        <f t="shared" ca="1" si="44"/>
        <v>0</v>
      </c>
      <c r="H350" s="76">
        <f ca="1">SUM($G$4:G350)</f>
        <v>-25.155084302325577</v>
      </c>
      <c r="I350" s="76">
        <f t="shared" ca="1" si="45"/>
        <v>0</v>
      </c>
      <c r="J350" s="76">
        <f t="shared" ca="1" si="46"/>
        <v>0</v>
      </c>
    </row>
    <row r="351" spans="2:10" x14ac:dyDescent="0.2">
      <c r="B351" s="66"/>
      <c r="C351" s="46">
        <f t="shared" ca="1" si="40"/>
        <v>0</v>
      </c>
      <c r="D351" s="46">
        <f t="shared" ca="1" si="41"/>
        <v>860</v>
      </c>
      <c r="E351" s="74">
        <f t="shared" ca="1" si="42"/>
        <v>1</v>
      </c>
      <c r="F351">
        <f t="shared" ca="1" si="43"/>
        <v>1</v>
      </c>
      <c r="G351" s="76">
        <f t="shared" ca="1" si="44"/>
        <v>0</v>
      </c>
      <c r="H351" s="76">
        <f ca="1">SUM($G$4:G351)</f>
        <v>-25.155084302325577</v>
      </c>
      <c r="I351" s="76">
        <f t="shared" ca="1" si="45"/>
        <v>0</v>
      </c>
      <c r="J351" s="76">
        <f t="shared" ca="1" si="46"/>
        <v>0</v>
      </c>
    </row>
    <row r="352" spans="2:10" x14ac:dyDescent="0.2">
      <c r="B352" s="66"/>
      <c r="C352" s="46">
        <f t="shared" ca="1" si="40"/>
        <v>0</v>
      </c>
      <c r="D352" s="46">
        <f t="shared" ca="1" si="41"/>
        <v>860</v>
      </c>
      <c r="E352" s="74">
        <f t="shared" ca="1" si="42"/>
        <v>1</v>
      </c>
      <c r="F352">
        <f t="shared" ca="1" si="43"/>
        <v>1</v>
      </c>
      <c r="G352" s="76">
        <f t="shared" ca="1" si="44"/>
        <v>0</v>
      </c>
      <c r="H352" s="76">
        <f ca="1">SUM($G$4:G352)</f>
        <v>-25.155084302325577</v>
      </c>
      <c r="I352" s="76">
        <f t="shared" ca="1" si="45"/>
        <v>0</v>
      </c>
      <c r="J352" s="76">
        <f t="shared" ca="1" si="46"/>
        <v>0</v>
      </c>
    </row>
    <row r="353" spans="2:10" x14ac:dyDescent="0.2">
      <c r="B353" s="66"/>
      <c r="C353" s="46">
        <f t="shared" ca="1" si="40"/>
        <v>0</v>
      </c>
      <c r="D353" s="46">
        <f t="shared" ca="1" si="41"/>
        <v>860</v>
      </c>
      <c r="E353" s="74">
        <f t="shared" ca="1" si="42"/>
        <v>1</v>
      </c>
      <c r="F353">
        <f t="shared" ca="1" si="43"/>
        <v>1</v>
      </c>
      <c r="G353" s="76">
        <f t="shared" ca="1" si="44"/>
        <v>0</v>
      </c>
      <c r="H353" s="76">
        <f ca="1">SUM($G$4:G353)</f>
        <v>-25.155084302325577</v>
      </c>
      <c r="I353" s="76">
        <f t="shared" ca="1" si="45"/>
        <v>0</v>
      </c>
      <c r="J353" s="76">
        <f t="shared" ca="1" si="46"/>
        <v>0</v>
      </c>
    </row>
    <row r="354" spans="2:10" x14ac:dyDescent="0.2">
      <c r="B354" s="66"/>
      <c r="C354" s="46">
        <f t="shared" ca="1" si="40"/>
        <v>0</v>
      </c>
      <c r="D354" s="46">
        <f t="shared" ca="1" si="41"/>
        <v>860</v>
      </c>
      <c r="E354" s="74">
        <f t="shared" ca="1" si="42"/>
        <v>1</v>
      </c>
      <c r="F354">
        <f t="shared" ca="1" si="43"/>
        <v>1</v>
      </c>
      <c r="G354" s="76">
        <f t="shared" ca="1" si="44"/>
        <v>0</v>
      </c>
      <c r="H354" s="76">
        <f ca="1">SUM($G$4:G354)</f>
        <v>-25.155084302325577</v>
      </c>
      <c r="I354" s="76">
        <f t="shared" ca="1" si="45"/>
        <v>0</v>
      </c>
      <c r="J354" s="76">
        <f t="shared" ca="1" si="46"/>
        <v>0</v>
      </c>
    </row>
    <row r="355" spans="2:10" x14ac:dyDescent="0.2">
      <c r="B355" s="66"/>
      <c r="C355" s="46">
        <f t="shared" ca="1" si="40"/>
        <v>0</v>
      </c>
      <c r="D355" s="46">
        <f t="shared" ca="1" si="41"/>
        <v>860</v>
      </c>
      <c r="E355" s="74">
        <f t="shared" ca="1" si="42"/>
        <v>1</v>
      </c>
      <c r="F355">
        <f t="shared" ca="1" si="43"/>
        <v>1</v>
      </c>
      <c r="G355" s="76">
        <f t="shared" ca="1" si="44"/>
        <v>0</v>
      </c>
      <c r="H355" s="76">
        <f ca="1">SUM($G$4:G355)</f>
        <v>-25.155084302325577</v>
      </c>
      <c r="I355" s="76">
        <f t="shared" ca="1" si="45"/>
        <v>0</v>
      </c>
      <c r="J355" s="76">
        <f t="shared" ca="1" si="46"/>
        <v>0</v>
      </c>
    </row>
    <row r="356" spans="2:10" x14ac:dyDescent="0.2">
      <c r="B356" s="66"/>
      <c r="C356" s="46">
        <f t="shared" ca="1" si="40"/>
        <v>0</v>
      </c>
      <c r="D356" s="46">
        <f t="shared" ca="1" si="41"/>
        <v>860</v>
      </c>
      <c r="E356" s="74">
        <f t="shared" ca="1" si="42"/>
        <v>1</v>
      </c>
      <c r="F356">
        <f t="shared" ca="1" si="43"/>
        <v>1</v>
      </c>
      <c r="G356" s="76">
        <f t="shared" ca="1" si="44"/>
        <v>0</v>
      </c>
      <c r="H356" s="76">
        <f ca="1">SUM($G$4:G356)</f>
        <v>-25.155084302325577</v>
      </c>
      <c r="I356" s="76">
        <f t="shared" ca="1" si="45"/>
        <v>0</v>
      </c>
      <c r="J356" s="76">
        <f t="shared" ca="1" si="46"/>
        <v>0</v>
      </c>
    </row>
    <row r="357" spans="2:10" x14ac:dyDescent="0.2">
      <c r="B357" s="66"/>
      <c r="C357" s="46">
        <f t="shared" ca="1" si="40"/>
        <v>0</v>
      </c>
      <c r="D357" s="46">
        <f t="shared" ca="1" si="41"/>
        <v>860</v>
      </c>
      <c r="E357" s="74">
        <f t="shared" ca="1" si="42"/>
        <v>1</v>
      </c>
      <c r="F357">
        <f t="shared" ca="1" si="43"/>
        <v>1</v>
      </c>
      <c r="G357" s="76">
        <f t="shared" ca="1" si="44"/>
        <v>0</v>
      </c>
      <c r="H357" s="76">
        <f ca="1">SUM($G$4:G357)</f>
        <v>-25.155084302325577</v>
      </c>
      <c r="I357" s="76">
        <f t="shared" ca="1" si="45"/>
        <v>0</v>
      </c>
      <c r="J357" s="76">
        <f t="shared" ca="1" si="46"/>
        <v>0</v>
      </c>
    </row>
    <row r="358" spans="2:10" x14ac:dyDescent="0.2">
      <c r="B358" s="66"/>
      <c r="C358" s="46">
        <f t="shared" ca="1" si="40"/>
        <v>0</v>
      </c>
      <c r="D358" s="46">
        <f t="shared" ca="1" si="41"/>
        <v>860</v>
      </c>
      <c r="E358" s="74">
        <f t="shared" ca="1" si="42"/>
        <v>1</v>
      </c>
      <c r="F358">
        <f t="shared" ca="1" si="43"/>
        <v>1</v>
      </c>
      <c r="G358" s="76">
        <f t="shared" ca="1" si="44"/>
        <v>0</v>
      </c>
      <c r="H358" s="76">
        <f ca="1">SUM($G$4:G358)</f>
        <v>-25.155084302325577</v>
      </c>
      <c r="I358" s="76">
        <f t="shared" ca="1" si="45"/>
        <v>0</v>
      </c>
      <c r="J358" s="76">
        <f t="shared" ca="1" si="46"/>
        <v>0</v>
      </c>
    </row>
    <row r="359" spans="2:10" x14ac:dyDescent="0.2">
      <c r="B359" s="66"/>
      <c r="C359" s="46">
        <f t="shared" ca="1" si="40"/>
        <v>0</v>
      </c>
      <c r="D359" s="46">
        <f t="shared" ca="1" si="41"/>
        <v>860</v>
      </c>
      <c r="E359" s="74">
        <f t="shared" ca="1" si="42"/>
        <v>1</v>
      </c>
      <c r="F359">
        <f t="shared" ca="1" si="43"/>
        <v>1</v>
      </c>
      <c r="G359" s="76">
        <f t="shared" ca="1" si="44"/>
        <v>0</v>
      </c>
      <c r="H359" s="76">
        <f ca="1">SUM($G$4:G359)</f>
        <v>-25.155084302325577</v>
      </c>
      <c r="I359" s="76">
        <f t="shared" ca="1" si="45"/>
        <v>0</v>
      </c>
      <c r="J359" s="76">
        <f t="shared" ca="1" si="46"/>
        <v>0</v>
      </c>
    </row>
    <row r="360" spans="2:10" x14ac:dyDescent="0.2">
      <c r="B360" s="66"/>
      <c r="C360" s="46">
        <f t="shared" ca="1" si="40"/>
        <v>0</v>
      </c>
      <c r="D360" s="46">
        <f t="shared" ca="1" si="41"/>
        <v>860</v>
      </c>
      <c r="E360" s="74">
        <f t="shared" ca="1" si="42"/>
        <v>1</v>
      </c>
      <c r="F360">
        <f t="shared" ca="1" si="43"/>
        <v>1</v>
      </c>
      <c r="G360" s="76">
        <f t="shared" ca="1" si="44"/>
        <v>0</v>
      </c>
      <c r="H360" s="76">
        <f ca="1">SUM($G$4:G360)</f>
        <v>-25.155084302325577</v>
      </c>
      <c r="I360" s="76">
        <f t="shared" ca="1" si="45"/>
        <v>0</v>
      </c>
      <c r="J360" s="76">
        <f t="shared" ca="1" si="46"/>
        <v>0</v>
      </c>
    </row>
    <row r="361" spans="2:10" x14ac:dyDescent="0.2">
      <c r="B361" s="66"/>
      <c r="C361" s="46">
        <f t="shared" ca="1" si="40"/>
        <v>0</v>
      </c>
      <c r="D361" s="46">
        <f t="shared" ca="1" si="41"/>
        <v>860</v>
      </c>
      <c r="E361" s="74">
        <f t="shared" ca="1" si="42"/>
        <v>1</v>
      </c>
      <c r="F361">
        <f t="shared" ca="1" si="43"/>
        <v>1</v>
      </c>
      <c r="G361" s="76">
        <f t="shared" ca="1" si="44"/>
        <v>0</v>
      </c>
      <c r="H361" s="76">
        <f ca="1">SUM($G$4:G361)</f>
        <v>-25.155084302325577</v>
      </c>
      <c r="I361" s="76">
        <f t="shared" ca="1" si="45"/>
        <v>0</v>
      </c>
      <c r="J361" s="76">
        <f t="shared" ca="1" si="46"/>
        <v>0</v>
      </c>
    </row>
    <row r="362" spans="2:10" x14ac:dyDescent="0.2">
      <c r="B362" s="66"/>
      <c r="C362" s="46">
        <f t="shared" ca="1" si="40"/>
        <v>0</v>
      </c>
      <c r="D362" s="46">
        <f t="shared" ca="1" si="41"/>
        <v>860</v>
      </c>
      <c r="E362" s="74">
        <f t="shared" ca="1" si="42"/>
        <v>1</v>
      </c>
      <c r="F362">
        <f t="shared" ca="1" si="43"/>
        <v>1</v>
      </c>
      <c r="G362" s="76">
        <f t="shared" ca="1" si="44"/>
        <v>0</v>
      </c>
      <c r="H362" s="76">
        <f ca="1">SUM($G$4:G362)</f>
        <v>-25.155084302325577</v>
      </c>
      <c r="I362" s="76">
        <f t="shared" ca="1" si="45"/>
        <v>0</v>
      </c>
      <c r="J362" s="76">
        <f t="shared" ca="1" si="46"/>
        <v>0</v>
      </c>
    </row>
    <row r="363" spans="2:10" x14ac:dyDescent="0.2">
      <c r="B363" s="66"/>
      <c r="C363" s="46">
        <f t="shared" ca="1" si="40"/>
        <v>0</v>
      </c>
      <c r="D363" s="46">
        <f t="shared" ca="1" si="41"/>
        <v>860</v>
      </c>
      <c r="E363" s="74">
        <f t="shared" ca="1" si="42"/>
        <v>1</v>
      </c>
      <c r="F363">
        <f t="shared" ca="1" si="43"/>
        <v>1</v>
      </c>
      <c r="G363" s="76">
        <f t="shared" ca="1" si="44"/>
        <v>0</v>
      </c>
      <c r="H363" s="76">
        <f ca="1">SUM($G$4:G363)</f>
        <v>-25.155084302325577</v>
      </c>
      <c r="I363" s="76">
        <f t="shared" ca="1" si="45"/>
        <v>0</v>
      </c>
      <c r="J363" s="76">
        <f t="shared" ca="1" si="46"/>
        <v>0</v>
      </c>
    </row>
    <row r="364" spans="2:10" x14ac:dyDescent="0.2">
      <c r="B364" s="66"/>
      <c r="C364" s="46">
        <f t="shared" ca="1" si="40"/>
        <v>0</v>
      </c>
      <c r="D364" s="46">
        <f t="shared" ca="1" si="41"/>
        <v>860</v>
      </c>
      <c r="E364" s="74">
        <f t="shared" ca="1" si="42"/>
        <v>1</v>
      </c>
      <c r="F364">
        <f t="shared" ca="1" si="43"/>
        <v>1</v>
      </c>
      <c r="G364" s="76">
        <f t="shared" ca="1" si="44"/>
        <v>0</v>
      </c>
      <c r="H364" s="76">
        <f ca="1">SUM($G$4:G364)</f>
        <v>-25.155084302325577</v>
      </c>
      <c r="I364" s="76">
        <f t="shared" ca="1" si="45"/>
        <v>0</v>
      </c>
      <c r="J364" s="76">
        <f t="shared" ca="1" si="46"/>
        <v>0</v>
      </c>
    </row>
    <row r="365" spans="2:10" x14ac:dyDescent="0.2">
      <c r="B365" s="66"/>
      <c r="C365" s="46">
        <f t="shared" ca="1" si="40"/>
        <v>0</v>
      </c>
      <c r="D365" s="46">
        <f t="shared" ca="1" si="41"/>
        <v>860</v>
      </c>
      <c r="E365" s="74">
        <f t="shared" ca="1" si="42"/>
        <v>1</v>
      </c>
      <c r="F365">
        <f t="shared" ca="1" si="43"/>
        <v>1</v>
      </c>
      <c r="G365" s="76">
        <f t="shared" ca="1" si="44"/>
        <v>0</v>
      </c>
      <c r="H365" s="76">
        <f ca="1">SUM($G$4:G365)</f>
        <v>-25.155084302325577</v>
      </c>
      <c r="I365" s="76">
        <f t="shared" ca="1" si="45"/>
        <v>0</v>
      </c>
      <c r="J365" s="76">
        <f t="shared" ca="1" si="46"/>
        <v>0</v>
      </c>
    </row>
    <row r="366" spans="2:10" x14ac:dyDescent="0.2">
      <c r="B366" s="66"/>
      <c r="C366" s="46">
        <f t="shared" ca="1" si="40"/>
        <v>0</v>
      </c>
      <c r="D366" s="46">
        <f t="shared" ca="1" si="41"/>
        <v>860</v>
      </c>
      <c r="E366" s="74">
        <f t="shared" ca="1" si="42"/>
        <v>1</v>
      </c>
      <c r="F366">
        <f t="shared" ca="1" si="43"/>
        <v>1</v>
      </c>
      <c r="G366" s="76">
        <f t="shared" ca="1" si="44"/>
        <v>0</v>
      </c>
      <c r="H366" s="76">
        <f ca="1">SUM($G$4:G366)</f>
        <v>-25.155084302325577</v>
      </c>
      <c r="I366" s="76">
        <f t="shared" ca="1" si="45"/>
        <v>0</v>
      </c>
      <c r="J366" s="76">
        <f t="shared" ca="1" si="46"/>
        <v>0</v>
      </c>
    </row>
    <row r="367" spans="2:10" x14ac:dyDescent="0.2">
      <c r="B367" s="66"/>
      <c r="C367" s="46">
        <f t="shared" ca="1" si="40"/>
        <v>0</v>
      </c>
      <c r="D367" s="46">
        <f t="shared" ca="1" si="41"/>
        <v>860</v>
      </c>
      <c r="E367" s="74">
        <f t="shared" ca="1" si="42"/>
        <v>1</v>
      </c>
      <c r="F367">
        <f t="shared" ca="1" si="43"/>
        <v>1</v>
      </c>
      <c r="G367" s="76">
        <f t="shared" ca="1" si="44"/>
        <v>0</v>
      </c>
      <c r="H367" s="76">
        <f ca="1">SUM($G$4:G367)</f>
        <v>-25.155084302325577</v>
      </c>
      <c r="I367" s="76">
        <f t="shared" ca="1" si="45"/>
        <v>0</v>
      </c>
      <c r="J367" s="76">
        <f t="shared" ca="1" si="46"/>
        <v>0</v>
      </c>
    </row>
    <row r="368" spans="2:10" x14ac:dyDescent="0.2">
      <c r="B368" s="66"/>
      <c r="C368" s="46">
        <f t="shared" ca="1" si="40"/>
        <v>0</v>
      </c>
      <c r="D368" s="46">
        <f t="shared" ca="1" si="41"/>
        <v>860</v>
      </c>
      <c r="E368" s="74">
        <f t="shared" ca="1" si="42"/>
        <v>1</v>
      </c>
      <c r="F368">
        <f t="shared" ca="1" si="43"/>
        <v>1</v>
      </c>
      <c r="G368" s="76">
        <f t="shared" ca="1" si="44"/>
        <v>0</v>
      </c>
      <c r="H368" s="76">
        <f ca="1">SUM($G$4:G368)</f>
        <v>-25.155084302325577</v>
      </c>
      <c r="I368" s="76">
        <f t="shared" ca="1" si="45"/>
        <v>0</v>
      </c>
      <c r="J368" s="76">
        <f t="shared" ca="1" si="46"/>
        <v>0</v>
      </c>
    </row>
    <row r="369" spans="2:10" x14ac:dyDescent="0.2">
      <c r="B369" s="66"/>
      <c r="C369" s="46">
        <f t="shared" ca="1" si="40"/>
        <v>0</v>
      </c>
      <c r="D369" s="46">
        <f t="shared" ca="1" si="41"/>
        <v>860</v>
      </c>
      <c r="E369" s="74">
        <f t="shared" ca="1" si="42"/>
        <v>1</v>
      </c>
      <c r="F369">
        <f t="shared" ca="1" si="43"/>
        <v>1</v>
      </c>
      <c r="G369" s="76">
        <f t="shared" ca="1" si="44"/>
        <v>0</v>
      </c>
      <c r="H369" s="76">
        <f ca="1">SUM($G$4:G369)</f>
        <v>-25.155084302325577</v>
      </c>
      <c r="I369" s="76">
        <f t="shared" ca="1" si="45"/>
        <v>0</v>
      </c>
      <c r="J369" s="76">
        <f t="shared" ca="1" si="46"/>
        <v>0</v>
      </c>
    </row>
    <row r="370" spans="2:10" x14ac:dyDescent="0.2">
      <c r="B370" s="66"/>
      <c r="C370" s="46">
        <f t="shared" ca="1" si="40"/>
        <v>0</v>
      </c>
      <c r="D370" s="46">
        <f t="shared" ca="1" si="41"/>
        <v>860</v>
      </c>
      <c r="E370" s="74">
        <f t="shared" ca="1" si="42"/>
        <v>1</v>
      </c>
      <c r="F370">
        <f t="shared" ca="1" si="43"/>
        <v>1</v>
      </c>
      <c r="G370" s="76">
        <f t="shared" ca="1" si="44"/>
        <v>0</v>
      </c>
      <c r="H370" s="76">
        <f ca="1">SUM($G$4:G370)</f>
        <v>-25.155084302325577</v>
      </c>
      <c r="I370" s="76">
        <f t="shared" ca="1" si="45"/>
        <v>0</v>
      </c>
      <c r="J370" s="76">
        <f t="shared" ca="1" si="46"/>
        <v>0</v>
      </c>
    </row>
    <row r="371" spans="2:10" x14ac:dyDescent="0.2">
      <c r="B371" s="66"/>
      <c r="C371" s="46">
        <f t="shared" ca="1" si="40"/>
        <v>0</v>
      </c>
      <c r="D371" s="46">
        <f t="shared" ca="1" si="41"/>
        <v>860</v>
      </c>
      <c r="E371" s="74">
        <f t="shared" ca="1" si="42"/>
        <v>1</v>
      </c>
      <c r="F371">
        <f t="shared" ca="1" si="43"/>
        <v>1</v>
      </c>
      <c r="G371" s="76">
        <f t="shared" ca="1" si="44"/>
        <v>0</v>
      </c>
      <c r="H371" s="76">
        <f ca="1">SUM($G$4:G371)</f>
        <v>-25.155084302325577</v>
      </c>
      <c r="I371" s="76">
        <f t="shared" ca="1" si="45"/>
        <v>0</v>
      </c>
      <c r="J371" s="76">
        <f t="shared" ca="1" si="46"/>
        <v>0</v>
      </c>
    </row>
    <row r="372" spans="2:10" x14ac:dyDescent="0.2">
      <c r="B372" s="66"/>
      <c r="C372" s="46">
        <f t="shared" ca="1" si="40"/>
        <v>0</v>
      </c>
      <c r="D372" s="46">
        <f t="shared" ca="1" si="41"/>
        <v>860</v>
      </c>
      <c r="E372" s="74">
        <f t="shared" ca="1" si="42"/>
        <v>1</v>
      </c>
      <c r="F372">
        <f t="shared" ca="1" si="43"/>
        <v>1</v>
      </c>
      <c r="G372" s="76">
        <f t="shared" ca="1" si="44"/>
        <v>0</v>
      </c>
      <c r="H372" s="76">
        <f ca="1">SUM($G$4:G372)</f>
        <v>-25.155084302325577</v>
      </c>
      <c r="I372" s="76">
        <f t="shared" ca="1" si="45"/>
        <v>0</v>
      </c>
      <c r="J372" s="76">
        <f t="shared" ca="1" si="46"/>
        <v>0</v>
      </c>
    </row>
    <row r="373" spans="2:10" x14ac:dyDescent="0.2">
      <c r="B373" s="66"/>
      <c r="C373" s="46">
        <f t="shared" ca="1" si="40"/>
        <v>0</v>
      </c>
      <c r="D373" s="46">
        <f t="shared" ca="1" si="41"/>
        <v>860</v>
      </c>
      <c r="E373" s="74">
        <f t="shared" ca="1" si="42"/>
        <v>1</v>
      </c>
      <c r="F373">
        <f t="shared" ca="1" si="43"/>
        <v>1</v>
      </c>
      <c r="G373" s="76">
        <f t="shared" ca="1" si="44"/>
        <v>0</v>
      </c>
      <c r="H373" s="76">
        <f ca="1">SUM($G$4:G373)</f>
        <v>-25.155084302325577</v>
      </c>
      <c r="I373" s="76">
        <f t="shared" ca="1" si="45"/>
        <v>0</v>
      </c>
      <c r="J373" s="76">
        <f t="shared" ca="1" si="46"/>
        <v>0</v>
      </c>
    </row>
    <row r="374" spans="2:10" x14ac:dyDescent="0.2">
      <c r="B374" s="66"/>
      <c r="C374" s="46">
        <f t="shared" ca="1" si="40"/>
        <v>0</v>
      </c>
      <c r="D374" s="46">
        <f t="shared" ca="1" si="41"/>
        <v>860</v>
      </c>
      <c r="E374" s="74">
        <f t="shared" ca="1" si="42"/>
        <v>1</v>
      </c>
      <c r="F374">
        <f t="shared" ca="1" si="43"/>
        <v>1</v>
      </c>
      <c r="G374" s="76">
        <f t="shared" ca="1" si="44"/>
        <v>0</v>
      </c>
      <c r="H374" s="76">
        <f ca="1">SUM($G$4:G374)</f>
        <v>-25.155084302325577</v>
      </c>
      <c r="I374" s="76">
        <f t="shared" ca="1" si="45"/>
        <v>0</v>
      </c>
      <c r="J374" s="76">
        <f t="shared" ca="1" si="46"/>
        <v>0</v>
      </c>
    </row>
    <row r="375" spans="2:10" x14ac:dyDescent="0.2">
      <c r="B375" s="66"/>
      <c r="C375" s="46">
        <f t="shared" ca="1" si="40"/>
        <v>0</v>
      </c>
      <c r="D375" s="46">
        <f t="shared" ca="1" si="41"/>
        <v>860</v>
      </c>
      <c r="E375" s="74">
        <f t="shared" ca="1" si="42"/>
        <v>1</v>
      </c>
      <c r="F375">
        <f t="shared" ca="1" si="43"/>
        <v>1</v>
      </c>
      <c r="G375" s="76">
        <f t="shared" ca="1" si="44"/>
        <v>0</v>
      </c>
      <c r="H375" s="76">
        <f ca="1">SUM($G$4:G375)</f>
        <v>-25.155084302325577</v>
      </c>
      <c r="I375" s="76">
        <f t="shared" ca="1" si="45"/>
        <v>0</v>
      </c>
      <c r="J375" s="76">
        <f t="shared" ca="1" si="46"/>
        <v>0</v>
      </c>
    </row>
    <row r="376" spans="2:10" x14ac:dyDescent="0.2">
      <c r="B376" s="66"/>
      <c r="C376" s="46">
        <f t="shared" ca="1" si="40"/>
        <v>0</v>
      </c>
      <c r="D376" s="46">
        <f t="shared" ca="1" si="41"/>
        <v>860</v>
      </c>
      <c r="E376" s="74">
        <f t="shared" ca="1" si="42"/>
        <v>1</v>
      </c>
      <c r="F376">
        <f t="shared" ca="1" si="43"/>
        <v>1</v>
      </c>
      <c r="G376" s="76">
        <f t="shared" ca="1" si="44"/>
        <v>0</v>
      </c>
      <c r="H376" s="76">
        <f ca="1">SUM($G$4:G376)</f>
        <v>-25.155084302325577</v>
      </c>
      <c r="I376" s="76">
        <f t="shared" ca="1" si="45"/>
        <v>0</v>
      </c>
      <c r="J376" s="76">
        <f t="shared" ca="1" si="46"/>
        <v>0</v>
      </c>
    </row>
    <row r="377" spans="2:10" x14ac:dyDescent="0.2">
      <c r="B377" s="66"/>
      <c r="C377" s="46">
        <f t="shared" ca="1" si="40"/>
        <v>0</v>
      </c>
      <c r="D377" s="46">
        <f t="shared" ca="1" si="41"/>
        <v>860</v>
      </c>
      <c r="E377" s="74">
        <f t="shared" ca="1" si="42"/>
        <v>1</v>
      </c>
      <c r="F377">
        <f t="shared" ca="1" si="43"/>
        <v>1</v>
      </c>
      <c r="G377" s="76">
        <f t="shared" ca="1" si="44"/>
        <v>0</v>
      </c>
      <c r="H377" s="76">
        <f ca="1">SUM($G$4:G377)</f>
        <v>-25.155084302325577</v>
      </c>
      <c r="I377" s="76">
        <f t="shared" ca="1" si="45"/>
        <v>0</v>
      </c>
      <c r="J377" s="76">
        <f t="shared" ca="1" si="46"/>
        <v>0</v>
      </c>
    </row>
    <row r="378" spans="2:10" x14ac:dyDescent="0.2">
      <c r="B378" s="66"/>
      <c r="C378" s="46">
        <f t="shared" ca="1" si="40"/>
        <v>0</v>
      </c>
      <c r="D378" s="46">
        <f t="shared" ca="1" si="41"/>
        <v>860</v>
      </c>
      <c r="E378" s="74">
        <f t="shared" ca="1" si="42"/>
        <v>1</v>
      </c>
      <c r="F378">
        <f t="shared" ca="1" si="43"/>
        <v>1</v>
      </c>
      <c r="G378" s="76">
        <f t="shared" ca="1" si="44"/>
        <v>0</v>
      </c>
      <c r="H378" s="76">
        <f ca="1">SUM($G$4:G378)</f>
        <v>-25.155084302325577</v>
      </c>
      <c r="I378" s="76">
        <f t="shared" ca="1" si="45"/>
        <v>0</v>
      </c>
      <c r="J378" s="76">
        <f t="shared" ca="1" si="46"/>
        <v>0</v>
      </c>
    </row>
    <row r="379" spans="2:10" x14ac:dyDescent="0.2">
      <c r="B379" s="66"/>
      <c r="C379" s="46">
        <f t="shared" ca="1" si="40"/>
        <v>0</v>
      </c>
      <c r="D379" s="46">
        <f t="shared" ca="1" si="41"/>
        <v>860</v>
      </c>
      <c r="E379" s="74">
        <f t="shared" ca="1" si="42"/>
        <v>1</v>
      </c>
      <c r="F379">
        <f t="shared" ca="1" si="43"/>
        <v>1</v>
      </c>
      <c r="G379" s="76">
        <f t="shared" ca="1" si="44"/>
        <v>0</v>
      </c>
      <c r="H379" s="76">
        <f ca="1">SUM($G$4:G379)</f>
        <v>-25.155084302325577</v>
      </c>
      <c r="I379" s="76">
        <f t="shared" ca="1" si="45"/>
        <v>0</v>
      </c>
      <c r="J379" s="76">
        <f t="shared" ca="1" si="46"/>
        <v>0</v>
      </c>
    </row>
    <row r="380" spans="2:10" x14ac:dyDescent="0.2">
      <c r="B380" s="66"/>
      <c r="C380" s="46">
        <f t="shared" ca="1" si="40"/>
        <v>0</v>
      </c>
      <c r="D380" s="46">
        <f t="shared" ca="1" si="41"/>
        <v>860</v>
      </c>
      <c r="E380" s="74">
        <f t="shared" ca="1" si="42"/>
        <v>1</v>
      </c>
      <c r="F380">
        <f t="shared" ca="1" si="43"/>
        <v>1</v>
      </c>
      <c r="G380" s="76">
        <f t="shared" ca="1" si="44"/>
        <v>0</v>
      </c>
      <c r="H380" s="76">
        <f ca="1">SUM($G$4:G380)</f>
        <v>-25.155084302325577</v>
      </c>
      <c r="I380" s="76">
        <f t="shared" ca="1" si="45"/>
        <v>0</v>
      </c>
      <c r="J380" s="76">
        <f t="shared" ca="1" si="46"/>
        <v>0</v>
      </c>
    </row>
    <row r="381" spans="2:10" x14ac:dyDescent="0.2">
      <c r="B381" s="66"/>
      <c r="C381" s="46">
        <f t="shared" ca="1" si="40"/>
        <v>0</v>
      </c>
      <c r="D381" s="46">
        <f t="shared" ca="1" si="41"/>
        <v>860</v>
      </c>
      <c r="E381" s="74">
        <f t="shared" ca="1" si="42"/>
        <v>1</v>
      </c>
      <c r="F381">
        <f t="shared" ca="1" si="43"/>
        <v>1</v>
      </c>
      <c r="G381" s="76">
        <f t="shared" ca="1" si="44"/>
        <v>0</v>
      </c>
      <c r="H381" s="76">
        <f ca="1">SUM($G$4:G381)</f>
        <v>-25.155084302325577</v>
      </c>
      <c r="I381" s="76">
        <f t="shared" ca="1" si="45"/>
        <v>0</v>
      </c>
      <c r="J381" s="76">
        <f t="shared" ca="1" si="46"/>
        <v>0</v>
      </c>
    </row>
    <row r="382" spans="2:10" x14ac:dyDescent="0.2">
      <c r="B382" s="66"/>
      <c r="C382" s="46">
        <f t="shared" ca="1" si="40"/>
        <v>0</v>
      </c>
      <c r="D382" s="46">
        <f t="shared" ca="1" si="41"/>
        <v>860</v>
      </c>
      <c r="E382" s="74">
        <f t="shared" ca="1" si="42"/>
        <v>1</v>
      </c>
      <c r="F382">
        <f t="shared" ca="1" si="43"/>
        <v>1</v>
      </c>
      <c r="G382" s="76">
        <f t="shared" ca="1" si="44"/>
        <v>0</v>
      </c>
      <c r="H382" s="76">
        <f ca="1">SUM($G$4:G382)</f>
        <v>-25.155084302325577</v>
      </c>
      <c r="I382" s="76">
        <f t="shared" ca="1" si="45"/>
        <v>0</v>
      </c>
      <c r="J382" s="76">
        <f t="shared" ca="1" si="46"/>
        <v>0</v>
      </c>
    </row>
    <row r="383" spans="2:10" x14ac:dyDescent="0.2">
      <c r="B383" s="66"/>
      <c r="C383" s="46">
        <f t="shared" ca="1" si="40"/>
        <v>0</v>
      </c>
      <c r="D383" s="46">
        <f t="shared" ca="1" si="41"/>
        <v>860</v>
      </c>
      <c r="E383" s="74">
        <f t="shared" ca="1" si="42"/>
        <v>1</v>
      </c>
      <c r="F383">
        <f t="shared" ca="1" si="43"/>
        <v>1</v>
      </c>
      <c r="G383" s="76">
        <f t="shared" ca="1" si="44"/>
        <v>0</v>
      </c>
      <c r="H383" s="76">
        <f ca="1">SUM($G$4:G383)</f>
        <v>-25.155084302325577</v>
      </c>
      <c r="I383" s="76">
        <f t="shared" ca="1" si="45"/>
        <v>0</v>
      </c>
      <c r="J383" s="76">
        <f t="shared" ca="1" si="46"/>
        <v>0</v>
      </c>
    </row>
    <row r="384" spans="2:10" x14ac:dyDescent="0.2">
      <c r="B384" s="66"/>
      <c r="C384" s="46">
        <f t="shared" ca="1" si="40"/>
        <v>0</v>
      </c>
      <c r="D384" s="46">
        <f t="shared" ca="1" si="41"/>
        <v>860</v>
      </c>
      <c r="E384" s="74">
        <f t="shared" ca="1" si="42"/>
        <v>1</v>
      </c>
      <c r="F384">
        <f t="shared" ca="1" si="43"/>
        <v>1</v>
      </c>
      <c r="G384" s="76">
        <f t="shared" ca="1" si="44"/>
        <v>0</v>
      </c>
      <c r="H384" s="76">
        <f ca="1">SUM($G$4:G384)</f>
        <v>-25.155084302325577</v>
      </c>
      <c r="I384" s="76">
        <f t="shared" ca="1" si="45"/>
        <v>0</v>
      </c>
      <c r="J384" s="76">
        <f t="shared" ca="1" si="46"/>
        <v>0</v>
      </c>
    </row>
    <row r="385" spans="2:10" x14ac:dyDescent="0.2">
      <c r="B385" s="66"/>
      <c r="C385" s="46">
        <f t="shared" ca="1" si="40"/>
        <v>0</v>
      </c>
      <c r="D385" s="46">
        <f t="shared" ca="1" si="41"/>
        <v>860</v>
      </c>
      <c r="E385" s="74">
        <f t="shared" ca="1" si="42"/>
        <v>1</v>
      </c>
      <c r="F385">
        <f t="shared" ca="1" si="43"/>
        <v>1</v>
      </c>
      <c r="G385" s="76">
        <f t="shared" ca="1" si="44"/>
        <v>0</v>
      </c>
      <c r="H385" s="76">
        <f ca="1">SUM($G$4:G385)</f>
        <v>-25.155084302325577</v>
      </c>
      <c r="I385" s="76">
        <f t="shared" ca="1" si="45"/>
        <v>0</v>
      </c>
      <c r="J385" s="76">
        <f t="shared" ca="1" si="46"/>
        <v>0</v>
      </c>
    </row>
    <row r="386" spans="2:10" x14ac:dyDescent="0.2">
      <c r="B386" s="66"/>
      <c r="C386" s="46">
        <f t="shared" ca="1" si="40"/>
        <v>0</v>
      </c>
      <c r="D386" s="46">
        <f t="shared" ca="1" si="41"/>
        <v>860</v>
      </c>
      <c r="E386" s="74">
        <f t="shared" ca="1" si="42"/>
        <v>1</v>
      </c>
      <c r="F386">
        <f t="shared" ca="1" si="43"/>
        <v>1</v>
      </c>
      <c r="G386" s="76">
        <f t="shared" ca="1" si="44"/>
        <v>0</v>
      </c>
      <c r="H386" s="76">
        <f ca="1">SUM($G$4:G386)</f>
        <v>-25.155084302325577</v>
      </c>
      <c r="I386" s="76">
        <f t="shared" ca="1" si="45"/>
        <v>0</v>
      </c>
      <c r="J386" s="76">
        <f t="shared" ca="1" si="46"/>
        <v>0</v>
      </c>
    </row>
    <row r="387" spans="2:10" x14ac:dyDescent="0.2">
      <c r="B387" s="66"/>
      <c r="C387" s="46">
        <f t="shared" ca="1" si="40"/>
        <v>0</v>
      </c>
      <c r="D387" s="46">
        <f t="shared" ca="1" si="41"/>
        <v>860</v>
      </c>
      <c r="E387" s="74">
        <f t="shared" ca="1" si="42"/>
        <v>1</v>
      </c>
      <c r="F387">
        <f t="shared" ca="1" si="43"/>
        <v>1</v>
      </c>
      <c r="G387" s="76">
        <f t="shared" ca="1" si="44"/>
        <v>0</v>
      </c>
      <c r="H387" s="76">
        <f ca="1">SUM($G$4:G387)</f>
        <v>-25.155084302325577</v>
      </c>
      <c r="I387" s="76">
        <f t="shared" ca="1" si="45"/>
        <v>0</v>
      </c>
      <c r="J387" s="76">
        <f t="shared" ca="1" si="46"/>
        <v>0</v>
      </c>
    </row>
    <row r="388" spans="2:10" x14ac:dyDescent="0.2">
      <c r="B388" s="66"/>
      <c r="C388" s="46">
        <f t="shared" ref="C388:C451" ca="1" si="47">COUNTIF(RAW_DATA,B388)</f>
        <v>0</v>
      </c>
      <c r="D388" s="46">
        <f t="shared" ca="1" si="41"/>
        <v>860</v>
      </c>
      <c r="E388" s="74">
        <f t="shared" ca="1" si="42"/>
        <v>1</v>
      </c>
      <c r="F388">
        <f t="shared" ca="1" si="43"/>
        <v>1</v>
      </c>
      <c r="G388" s="76">
        <f t="shared" ca="1" si="44"/>
        <v>0</v>
      </c>
      <c r="H388" s="76">
        <f ca="1">SUM($G$4:G388)</f>
        <v>-25.155084302325577</v>
      </c>
      <c r="I388" s="76">
        <f t="shared" ca="1" si="45"/>
        <v>0</v>
      </c>
      <c r="J388" s="76">
        <f t="shared" ca="1" si="46"/>
        <v>0</v>
      </c>
    </row>
    <row r="389" spans="2:10" x14ac:dyDescent="0.2">
      <c r="B389" s="66"/>
      <c r="C389" s="46">
        <f t="shared" ca="1" si="47"/>
        <v>0</v>
      </c>
      <c r="D389" s="46">
        <f t="shared" ref="D389:D452" ca="1" si="48">COUNTIF(ALL_DATA,B389)+D388</f>
        <v>860</v>
      </c>
      <c r="E389" s="74">
        <f t="shared" ref="E389:E452" ca="1" si="49">1-C389/D389</f>
        <v>1</v>
      </c>
      <c r="F389">
        <f t="shared" ref="F389:F452" ca="1" si="50">PRODUCT(E390:E1240)</f>
        <v>1</v>
      </c>
      <c r="G389" s="76">
        <f t="shared" ref="G389:G452" ca="1" si="51">(B390-B389)*F389</f>
        <v>0</v>
      </c>
      <c r="H389" s="76">
        <f ca="1">SUM($G$4:G389)</f>
        <v>-25.155084302325577</v>
      </c>
      <c r="I389" s="76">
        <f t="shared" ca="1" si="45"/>
        <v>0</v>
      </c>
      <c r="J389" s="76">
        <f t="shared" ca="1" si="46"/>
        <v>0</v>
      </c>
    </row>
    <row r="390" spans="2:10" x14ac:dyDescent="0.2">
      <c r="B390" s="66"/>
      <c r="C390" s="46">
        <f t="shared" ca="1" si="47"/>
        <v>0</v>
      </c>
      <c r="D390" s="46">
        <f t="shared" ca="1" si="48"/>
        <v>860</v>
      </c>
      <c r="E390" s="74">
        <f t="shared" ca="1" si="49"/>
        <v>1</v>
      </c>
      <c r="F390">
        <f t="shared" ca="1" si="50"/>
        <v>1</v>
      </c>
      <c r="G390" s="76">
        <f t="shared" ca="1" si="51"/>
        <v>0</v>
      </c>
      <c r="H390" s="76">
        <f ca="1">SUM($G$4:G390)</f>
        <v>-25.155084302325577</v>
      </c>
      <c r="I390" s="76">
        <f t="shared" ref="I390:I453" ca="1" si="52">B390*(F390-F389)</f>
        <v>0</v>
      </c>
      <c r="J390" s="76">
        <f t="shared" ref="J390:J453" ca="1" si="53">POWER(B390-$M$3,2)*(F390-F389)</f>
        <v>0</v>
      </c>
    </row>
    <row r="391" spans="2:10" x14ac:dyDescent="0.2">
      <c r="B391" s="66"/>
      <c r="C391" s="46">
        <f t="shared" ca="1" si="47"/>
        <v>0</v>
      </c>
      <c r="D391" s="46">
        <f t="shared" ca="1" si="48"/>
        <v>860</v>
      </c>
      <c r="E391" s="74">
        <f t="shared" ca="1" si="49"/>
        <v>1</v>
      </c>
      <c r="F391">
        <f t="shared" ca="1" si="50"/>
        <v>1</v>
      </c>
      <c r="G391" s="76">
        <f t="shared" ca="1" si="51"/>
        <v>0</v>
      </c>
      <c r="H391" s="76">
        <f ca="1">SUM($G$4:G391)</f>
        <v>-25.155084302325577</v>
      </c>
      <c r="I391" s="76">
        <f t="shared" ca="1" si="52"/>
        <v>0</v>
      </c>
      <c r="J391" s="76">
        <f t="shared" ca="1" si="53"/>
        <v>0</v>
      </c>
    </row>
    <row r="392" spans="2:10" x14ac:dyDescent="0.2">
      <c r="B392" s="66"/>
      <c r="C392" s="46">
        <f t="shared" ca="1" si="47"/>
        <v>0</v>
      </c>
      <c r="D392" s="46">
        <f t="shared" ca="1" si="48"/>
        <v>860</v>
      </c>
      <c r="E392" s="74">
        <f t="shared" ca="1" si="49"/>
        <v>1</v>
      </c>
      <c r="F392">
        <f t="shared" ca="1" si="50"/>
        <v>1</v>
      </c>
      <c r="G392" s="76">
        <f t="shared" ca="1" si="51"/>
        <v>0</v>
      </c>
      <c r="H392" s="76">
        <f ca="1">SUM($G$4:G392)</f>
        <v>-25.155084302325577</v>
      </c>
      <c r="I392" s="76">
        <f t="shared" ca="1" si="52"/>
        <v>0</v>
      </c>
      <c r="J392" s="76">
        <f t="shared" ca="1" si="53"/>
        <v>0</v>
      </c>
    </row>
    <row r="393" spans="2:10" x14ac:dyDescent="0.2">
      <c r="B393" s="66"/>
      <c r="C393" s="46">
        <f t="shared" ca="1" si="47"/>
        <v>0</v>
      </c>
      <c r="D393" s="46">
        <f t="shared" ca="1" si="48"/>
        <v>860</v>
      </c>
      <c r="E393" s="74">
        <f t="shared" ca="1" si="49"/>
        <v>1</v>
      </c>
      <c r="F393">
        <f t="shared" ca="1" si="50"/>
        <v>1</v>
      </c>
      <c r="G393" s="76">
        <f t="shared" ca="1" si="51"/>
        <v>0</v>
      </c>
      <c r="H393" s="76">
        <f ca="1">SUM($G$4:G393)</f>
        <v>-25.155084302325577</v>
      </c>
      <c r="I393" s="76">
        <f t="shared" ca="1" si="52"/>
        <v>0</v>
      </c>
      <c r="J393" s="76">
        <f t="shared" ca="1" si="53"/>
        <v>0</v>
      </c>
    </row>
    <row r="394" spans="2:10" x14ac:dyDescent="0.2">
      <c r="B394" s="66"/>
      <c r="C394" s="46">
        <f t="shared" ca="1" si="47"/>
        <v>0</v>
      </c>
      <c r="D394" s="46">
        <f t="shared" ca="1" si="48"/>
        <v>860</v>
      </c>
      <c r="E394" s="74">
        <f t="shared" ca="1" si="49"/>
        <v>1</v>
      </c>
      <c r="F394">
        <f t="shared" ca="1" si="50"/>
        <v>1</v>
      </c>
      <c r="G394" s="76">
        <f t="shared" ca="1" si="51"/>
        <v>0</v>
      </c>
      <c r="H394" s="76">
        <f ca="1">SUM($G$4:G394)</f>
        <v>-25.155084302325577</v>
      </c>
      <c r="I394" s="76">
        <f t="shared" ca="1" si="52"/>
        <v>0</v>
      </c>
      <c r="J394" s="76">
        <f t="shared" ca="1" si="53"/>
        <v>0</v>
      </c>
    </row>
    <row r="395" spans="2:10" x14ac:dyDescent="0.2">
      <c r="B395" s="66"/>
      <c r="C395" s="46">
        <f t="shared" ca="1" si="47"/>
        <v>0</v>
      </c>
      <c r="D395" s="46">
        <f t="shared" ca="1" si="48"/>
        <v>860</v>
      </c>
      <c r="E395" s="74">
        <f t="shared" ca="1" si="49"/>
        <v>1</v>
      </c>
      <c r="F395">
        <f t="shared" ca="1" si="50"/>
        <v>1</v>
      </c>
      <c r="G395" s="76">
        <f t="shared" ca="1" si="51"/>
        <v>0</v>
      </c>
      <c r="H395" s="76">
        <f ca="1">SUM($G$4:G395)</f>
        <v>-25.155084302325577</v>
      </c>
      <c r="I395" s="76">
        <f t="shared" ca="1" si="52"/>
        <v>0</v>
      </c>
      <c r="J395" s="76">
        <f t="shared" ca="1" si="53"/>
        <v>0</v>
      </c>
    </row>
    <row r="396" spans="2:10" x14ac:dyDescent="0.2">
      <c r="B396" s="66"/>
      <c r="C396" s="46">
        <f t="shared" ca="1" si="47"/>
        <v>0</v>
      </c>
      <c r="D396" s="46">
        <f t="shared" ca="1" si="48"/>
        <v>860</v>
      </c>
      <c r="E396" s="74">
        <f t="shared" ca="1" si="49"/>
        <v>1</v>
      </c>
      <c r="F396">
        <f t="shared" ca="1" si="50"/>
        <v>1</v>
      </c>
      <c r="G396" s="76">
        <f t="shared" ca="1" si="51"/>
        <v>0</v>
      </c>
      <c r="H396" s="76">
        <f ca="1">SUM($G$4:G396)</f>
        <v>-25.155084302325577</v>
      </c>
      <c r="I396" s="76">
        <f t="shared" ca="1" si="52"/>
        <v>0</v>
      </c>
      <c r="J396" s="76">
        <f t="shared" ca="1" si="53"/>
        <v>0</v>
      </c>
    </row>
    <row r="397" spans="2:10" x14ac:dyDescent="0.2">
      <c r="B397" s="66"/>
      <c r="C397" s="46">
        <f t="shared" ca="1" si="47"/>
        <v>0</v>
      </c>
      <c r="D397" s="46">
        <f t="shared" ca="1" si="48"/>
        <v>860</v>
      </c>
      <c r="E397" s="74">
        <f t="shared" ca="1" si="49"/>
        <v>1</v>
      </c>
      <c r="F397">
        <f t="shared" ca="1" si="50"/>
        <v>1</v>
      </c>
      <c r="G397" s="76">
        <f t="shared" ca="1" si="51"/>
        <v>0</v>
      </c>
      <c r="H397" s="76">
        <f ca="1">SUM($G$4:G397)</f>
        <v>-25.155084302325577</v>
      </c>
      <c r="I397" s="76">
        <f t="shared" ca="1" si="52"/>
        <v>0</v>
      </c>
      <c r="J397" s="76">
        <f t="shared" ca="1" si="53"/>
        <v>0</v>
      </c>
    </row>
    <row r="398" spans="2:10" x14ac:dyDescent="0.2">
      <c r="B398" s="66"/>
      <c r="C398" s="46">
        <f t="shared" ca="1" si="47"/>
        <v>0</v>
      </c>
      <c r="D398" s="46">
        <f t="shared" ca="1" si="48"/>
        <v>860</v>
      </c>
      <c r="E398" s="74">
        <f t="shared" ca="1" si="49"/>
        <v>1</v>
      </c>
      <c r="F398">
        <f t="shared" ca="1" si="50"/>
        <v>1</v>
      </c>
      <c r="G398" s="76">
        <f t="shared" ca="1" si="51"/>
        <v>0</v>
      </c>
      <c r="H398" s="76">
        <f ca="1">SUM($G$4:G398)</f>
        <v>-25.155084302325577</v>
      </c>
      <c r="I398" s="76">
        <f t="shared" ca="1" si="52"/>
        <v>0</v>
      </c>
      <c r="J398" s="76">
        <f t="shared" ca="1" si="53"/>
        <v>0</v>
      </c>
    </row>
    <row r="399" spans="2:10" x14ac:dyDescent="0.2">
      <c r="B399" s="66"/>
      <c r="C399" s="46">
        <f t="shared" ca="1" si="47"/>
        <v>0</v>
      </c>
      <c r="D399" s="46">
        <f t="shared" ca="1" si="48"/>
        <v>860</v>
      </c>
      <c r="E399" s="74">
        <f t="shared" ca="1" si="49"/>
        <v>1</v>
      </c>
      <c r="F399">
        <f t="shared" ca="1" si="50"/>
        <v>1</v>
      </c>
      <c r="G399" s="76">
        <f t="shared" ca="1" si="51"/>
        <v>0</v>
      </c>
      <c r="H399" s="76">
        <f ca="1">SUM($G$4:G399)</f>
        <v>-25.155084302325577</v>
      </c>
      <c r="I399" s="76">
        <f t="shared" ca="1" si="52"/>
        <v>0</v>
      </c>
      <c r="J399" s="76">
        <f t="shared" ca="1" si="53"/>
        <v>0</v>
      </c>
    </row>
    <row r="400" spans="2:10" x14ac:dyDescent="0.2">
      <c r="B400" s="66"/>
      <c r="C400" s="46">
        <f t="shared" ca="1" si="47"/>
        <v>0</v>
      </c>
      <c r="D400" s="46">
        <f t="shared" ca="1" si="48"/>
        <v>860</v>
      </c>
      <c r="E400" s="74">
        <f t="shared" ca="1" si="49"/>
        <v>1</v>
      </c>
      <c r="F400">
        <f t="shared" ca="1" si="50"/>
        <v>1</v>
      </c>
      <c r="G400" s="76">
        <f t="shared" ca="1" si="51"/>
        <v>0</v>
      </c>
      <c r="H400" s="76">
        <f ca="1">SUM($G$4:G400)</f>
        <v>-25.155084302325577</v>
      </c>
      <c r="I400" s="76">
        <f t="shared" ca="1" si="52"/>
        <v>0</v>
      </c>
      <c r="J400" s="76">
        <f t="shared" ca="1" si="53"/>
        <v>0</v>
      </c>
    </row>
    <row r="401" spans="2:10" x14ac:dyDescent="0.2">
      <c r="B401" s="66"/>
      <c r="C401" s="46">
        <f t="shared" ca="1" si="47"/>
        <v>0</v>
      </c>
      <c r="D401" s="46">
        <f t="shared" ca="1" si="48"/>
        <v>860</v>
      </c>
      <c r="E401" s="74">
        <f t="shared" ca="1" si="49"/>
        <v>1</v>
      </c>
      <c r="F401">
        <f t="shared" ca="1" si="50"/>
        <v>1</v>
      </c>
      <c r="G401" s="76">
        <f t="shared" ca="1" si="51"/>
        <v>0</v>
      </c>
      <c r="H401" s="76">
        <f ca="1">SUM($G$4:G401)</f>
        <v>-25.155084302325577</v>
      </c>
      <c r="I401" s="76">
        <f t="shared" ca="1" si="52"/>
        <v>0</v>
      </c>
      <c r="J401" s="76">
        <f t="shared" ca="1" si="53"/>
        <v>0</v>
      </c>
    </row>
    <row r="402" spans="2:10" x14ac:dyDescent="0.2">
      <c r="B402" s="66"/>
      <c r="C402" s="46">
        <f t="shared" ca="1" si="47"/>
        <v>0</v>
      </c>
      <c r="D402" s="46">
        <f t="shared" ca="1" si="48"/>
        <v>860</v>
      </c>
      <c r="E402" s="74">
        <f t="shared" ca="1" si="49"/>
        <v>1</v>
      </c>
      <c r="F402">
        <f t="shared" ca="1" si="50"/>
        <v>1</v>
      </c>
      <c r="G402" s="76">
        <f t="shared" ca="1" si="51"/>
        <v>0</v>
      </c>
      <c r="H402" s="76">
        <f ca="1">SUM($G$4:G402)</f>
        <v>-25.155084302325577</v>
      </c>
      <c r="I402" s="76">
        <f t="shared" ca="1" si="52"/>
        <v>0</v>
      </c>
      <c r="J402" s="76">
        <f t="shared" ca="1" si="53"/>
        <v>0</v>
      </c>
    </row>
    <row r="403" spans="2:10" x14ac:dyDescent="0.2">
      <c r="B403" s="66"/>
      <c r="C403" s="46">
        <f t="shared" ca="1" si="47"/>
        <v>0</v>
      </c>
      <c r="D403" s="46">
        <f t="shared" ca="1" si="48"/>
        <v>860</v>
      </c>
      <c r="E403" s="74">
        <f t="shared" ca="1" si="49"/>
        <v>1</v>
      </c>
      <c r="F403">
        <f t="shared" ca="1" si="50"/>
        <v>1</v>
      </c>
      <c r="G403" s="76">
        <f t="shared" ca="1" si="51"/>
        <v>0</v>
      </c>
      <c r="H403" s="76">
        <f ca="1">SUM($G$4:G403)</f>
        <v>-25.155084302325577</v>
      </c>
      <c r="I403" s="76">
        <f t="shared" ca="1" si="52"/>
        <v>0</v>
      </c>
      <c r="J403" s="76">
        <f t="shared" ca="1" si="53"/>
        <v>0</v>
      </c>
    </row>
    <row r="404" spans="2:10" x14ac:dyDescent="0.2">
      <c r="B404" s="66"/>
      <c r="C404" s="46">
        <f t="shared" ca="1" si="47"/>
        <v>0</v>
      </c>
      <c r="D404" s="46">
        <f t="shared" ca="1" si="48"/>
        <v>860</v>
      </c>
      <c r="E404" s="74">
        <f t="shared" ca="1" si="49"/>
        <v>1</v>
      </c>
      <c r="F404">
        <f t="shared" ca="1" si="50"/>
        <v>1</v>
      </c>
      <c r="G404" s="76">
        <f t="shared" ca="1" si="51"/>
        <v>0</v>
      </c>
      <c r="H404" s="76">
        <f ca="1">SUM($G$4:G404)</f>
        <v>-25.155084302325577</v>
      </c>
      <c r="I404" s="76">
        <f t="shared" ca="1" si="52"/>
        <v>0</v>
      </c>
      <c r="J404" s="76">
        <f t="shared" ca="1" si="53"/>
        <v>0</v>
      </c>
    </row>
    <row r="405" spans="2:10" x14ac:dyDescent="0.2">
      <c r="B405" s="66"/>
      <c r="C405" s="46">
        <f t="shared" ca="1" si="47"/>
        <v>0</v>
      </c>
      <c r="D405" s="46">
        <f t="shared" ca="1" si="48"/>
        <v>860</v>
      </c>
      <c r="E405" s="74">
        <f t="shared" ca="1" si="49"/>
        <v>1</v>
      </c>
      <c r="F405">
        <f t="shared" ca="1" si="50"/>
        <v>1</v>
      </c>
      <c r="G405" s="76">
        <f t="shared" ca="1" si="51"/>
        <v>0</v>
      </c>
      <c r="H405" s="76">
        <f ca="1">SUM($G$4:G405)</f>
        <v>-25.155084302325577</v>
      </c>
      <c r="I405" s="76">
        <f t="shared" ca="1" si="52"/>
        <v>0</v>
      </c>
      <c r="J405" s="76">
        <f t="shared" ca="1" si="53"/>
        <v>0</v>
      </c>
    </row>
    <row r="406" spans="2:10" x14ac:dyDescent="0.2">
      <c r="B406" s="66"/>
      <c r="C406" s="46">
        <f t="shared" ca="1" si="47"/>
        <v>0</v>
      </c>
      <c r="D406" s="46">
        <f t="shared" ca="1" si="48"/>
        <v>860</v>
      </c>
      <c r="E406" s="74">
        <f t="shared" ca="1" si="49"/>
        <v>1</v>
      </c>
      <c r="F406">
        <f t="shared" ca="1" si="50"/>
        <v>1</v>
      </c>
      <c r="G406" s="76">
        <f t="shared" ca="1" si="51"/>
        <v>0</v>
      </c>
      <c r="H406" s="76">
        <f ca="1">SUM($G$4:G406)</f>
        <v>-25.155084302325577</v>
      </c>
      <c r="I406" s="76">
        <f t="shared" ca="1" si="52"/>
        <v>0</v>
      </c>
      <c r="J406" s="76">
        <f t="shared" ca="1" si="53"/>
        <v>0</v>
      </c>
    </row>
    <row r="407" spans="2:10" x14ac:dyDescent="0.2">
      <c r="B407" s="66"/>
      <c r="C407" s="46">
        <f t="shared" ca="1" si="47"/>
        <v>0</v>
      </c>
      <c r="D407" s="46">
        <f t="shared" ca="1" si="48"/>
        <v>860</v>
      </c>
      <c r="E407" s="74">
        <f t="shared" ca="1" si="49"/>
        <v>1</v>
      </c>
      <c r="F407">
        <f t="shared" ca="1" si="50"/>
        <v>1</v>
      </c>
      <c r="G407" s="76">
        <f t="shared" ca="1" si="51"/>
        <v>0</v>
      </c>
      <c r="H407" s="76">
        <f ca="1">SUM($G$4:G407)</f>
        <v>-25.155084302325577</v>
      </c>
      <c r="I407" s="76">
        <f t="shared" ca="1" si="52"/>
        <v>0</v>
      </c>
      <c r="J407" s="76">
        <f t="shared" ca="1" si="53"/>
        <v>0</v>
      </c>
    </row>
    <row r="408" spans="2:10" x14ac:dyDescent="0.2">
      <c r="B408" s="66"/>
      <c r="C408" s="46">
        <f t="shared" ca="1" si="47"/>
        <v>0</v>
      </c>
      <c r="D408" s="46">
        <f t="shared" ca="1" si="48"/>
        <v>860</v>
      </c>
      <c r="E408" s="74">
        <f t="shared" ca="1" si="49"/>
        <v>1</v>
      </c>
      <c r="F408">
        <f t="shared" ca="1" si="50"/>
        <v>1</v>
      </c>
      <c r="G408" s="76">
        <f t="shared" ca="1" si="51"/>
        <v>0</v>
      </c>
      <c r="H408" s="76">
        <f ca="1">SUM($G$4:G408)</f>
        <v>-25.155084302325577</v>
      </c>
      <c r="I408" s="76">
        <f t="shared" ca="1" si="52"/>
        <v>0</v>
      </c>
      <c r="J408" s="76">
        <f t="shared" ca="1" si="53"/>
        <v>0</v>
      </c>
    </row>
    <row r="409" spans="2:10" x14ac:dyDescent="0.2">
      <c r="B409" s="66"/>
      <c r="C409" s="46">
        <f t="shared" ca="1" si="47"/>
        <v>0</v>
      </c>
      <c r="D409" s="46">
        <f t="shared" ca="1" si="48"/>
        <v>860</v>
      </c>
      <c r="E409" s="74">
        <f t="shared" ca="1" si="49"/>
        <v>1</v>
      </c>
      <c r="F409">
        <f t="shared" ca="1" si="50"/>
        <v>1</v>
      </c>
      <c r="G409" s="76">
        <f t="shared" ca="1" si="51"/>
        <v>0</v>
      </c>
      <c r="H409" s="76">
        <f ca="1">SUM($G$4:G409)</f>
        <v>-25.155084302325577</v>
      </c>
      <c r="I409" s="76">
        <f t="shared" ca="1" si="52"/>
        <v>0</v>
      </c>
      <c r="J409" s="76">
        <f t="shared" ca="1" si="53"/>
        <v>0</v>
      </c>
    </row>
    <row r="410" spans="2:10" x14ac:dyDescent="0.2">
      <c r="B410" s="66"/>
      <c r="C410" s="46">
        <f t="shared" ca="1" si="47"/>
        <v>0</v>
      </c>
      <c r="D410" s="46">
        <f t="shared" ca="1" si="48"/>
        <v>860</v>
      </c>
      <c r="E410" s="74">
        <f t="shared" ca="1" si="49"/>
        <v>1</v>
      </c>
      <c r="F410">
        <f t="shared" ca="1" si="50"/>
        <v>1</v>
      </c>
      <c r="G410" s="76">
        <f t="shared" ca="1" si="51"/>
        <v>0</v>
      </c>
      <c r="H410" s="76">
        <f ca="1">SUM($G$4:G410)</f>
        <v>-25.155084302325577</v>
      </c>
      <c r="I410" s="76">
        <f t="shared" ca="1" si="52"/>
        <v>0</v>
      </c>
      <c r="J410" s="76">
        <f t="shared" ca="1" si="53"/>
        <v>0</v>
      </c>
    </row>
    <row r="411" spans="2:10" x14ac:dyDescent="0.2">
      <c r="B411" s="66"/>
      <c r="C411" s="46">
        <f t="shared" ca="1" si="47"/>
        <v>0</v>
      </c>
      <c r="D411" s="46">
        <f t="shared" ca="1" si="48"/>
        <v>860</v>
      </c>
      <c r="E411" s="74">
        <f t="shared" ca="1" si="49"/>
        <v>1</v>
      </c>
      <c r="F411">
        <f t="shared" ca="1" si="50"/>
        <v>1</v>
      </c>
      <c r="G411" s="76">
        <f t="shared" ca="1" si="51"/>
        <v>0</v>
      </c>
      <c r="H411" s="76">
        <f ca="1">SUM($G$4:G411)</f>
        <v>-25.155084302325577</v>
      </c>
      <c r="I411" s="76">
        <f t="shared" ca="1" si="52"/>
        <v>0</v>
      </c>
      <c r="J411" s="76">
        <f t="shared" ca="1" si="53"/>
        <v>0</v>
      </c>
    </row>
    <row r="412" spans="2:10" x14ac:dyDescent="0.2">
      <c r="B412" s="66"/>
      <c r="C412" s="46">
        <f t="shared" ca="1" si="47"/>
        <v>0</v>
      </c>
      <c r="D412" s="46">
        <f t="shared" ca="1" si="48"/>
        <v>860</v>
      </c>
      <c r="E412" s="74">
        <f t="shared" ca="1" si="49"/>
        <v>1</v>
      </c>
      <c r="F412">
        <f t="shared" ca="1" si="50"/>
        <v>1</v>
      </c>
      <c r="G412" s="76">
        <f t="shared" ca="1" si="51"/>
        <v>0</v>
      </c>
      <c r="H412" s="76">
        <f ca="1">SUM($G$4:G412)</f>
        <v>-25.155084302325577</v>
      </c>
      <c r="I412" s="76">
        <f t="shared" ca="1" si="52"/>
        <v>0</v>
      </c>
      <c r="J412" s="76">
        <f t="shared" ca="1" si="53"/>
        <v>0</v>
      </c>
    </row>
    <row r="413" spans="2:10" x14ac:dyDescent="0.2">
      <c r="B413" s="66"/>
      <c r="C413" s="46">
        <f t="shared" ca="1" si="47"/>
        <v>0</v>
      </c>
      <c r="D413" s="46">
        <f t="shared" ca="1" si="48"/>
        <v>860</v>
      </c>
      <c r="E413" s="74">
        <f t="shared" ca="1" si="49"/>
        <v>1</v>
      </c>
      <c r="F413">
        <f t="shared" ca="1" si="50"/>
        <v>1</v>
      </c>
      <c r="G413" s="76">
        <f t="shared" ca="1" si="51"/>
        <v>0</v>
      </c>
      <c r="H413" s="76">
        <f ca="1">SUM($G$4:G413)</f>
        <v>-25.155084302325577</v>
      </c>
      <c r="I413" s="76">
        <f t="shared" ca="1" si="52"/>
        <v>0</v>
      </c>
      <c r="J413" s="76">
        <f t="shared" ca="1" si="53"/>
        <v>0</v>
      </c>
    </row>
    <row r="414" spans="2:10" x14ac:dyDescent="0.2">
      <c r="B414" s="66"/>
      <c r="C414" s="46">
        <f t="shared" ca="1" si="47"/>
        <v>0</v>
      </c>
      <c r="D414" s="46">
        <f t="shared" ca="1" si="48"/>
        <v>860</v>
      </c>
      <c r="E414" s="74">
        <f t="shared" ca="1" si="49"/>
        <v>1</v>
      </c>
      <c r="F414">
        <f t="shared" ca="1" si="50"/>
        <v>1</v>
      </c>
      <c r="G414" s="76">
        <f t="shared" ca="1" si="51"/>
        <v>0</v>
      </c>
      <c r="H414" s="76">
        <f ca="1">SUM($G$4:G414)</f>
        <v>-25.155084302325577</v>
      </c>
      <c r="I414" s="76">
        <f t="shared" ca="1" si="52"/>
        <v>0</v>
      </c>
      <c r="J414" s="76">
        <f t="shared" ca="1" si="53"/>
        <v>0</v>
      </c>
    </row>
    <row r="415" spans="2:10" x14ac:dyDescent="0.2">
      <c r="B415" s="66"/>
      <c r="C415" s="46">
        <f t="shared" ca="1" si="47"/>
        <v>0</v>
      </c>
      <c r="D415" s="46">
        <f t="shared" ca="1" si="48"/>
        <v>860</v>
      </c>
      <c r="E415" s="74">
        <f t="shared" ca="1" si="49"/>
        <v>1</v>
      </c>
      <c r="F415">
        <f t="shared" ca="1" si="50"/>
        <v>1</v>
      </c>
      <c r="G415" s="76">
        <f t="shared" ca="1" si="51"/>
        <v>0</v>
      </c>
      <c r="H415" s="76">
        <f ca="1">SUM($G$4:G415)</f>
        <v>-25.155084302325577</v>
      </c>
      <c r="I415" s="76">
        <f t="shared" ca="1" si="52"/>
        <v>0</v>
      </c>
      <c r="J415" s="76">
        <f t="shared" ca="1" si="53"/>
        <v>0</v>
      </c>
    </row>
    <row r="416" spans="2:10" x14ac:dyDescent="0.2">
      <c r="B416" s="66"/>
      <c r="C416" s="46">
        <f t="shared" ca="1" si="47"/>
        <v>0</v>
      </c>
      <c r="D416" s="46">
        <f t="shared" ca="1" si="48"/>
        <v>860</v>
      </c>
      <c r="E416" s="74">
        <f t="shared" ca="1" si="49"/>
        <v>1</v>
      </c>
      <c r="F416">
        <f t="shared" ca="1" si="50"/>
        <v>1</v>
      </c>
      <c r="G416" s="76">
        <f t="shared" ca="1" si="51"/>
        <v>0</v>
      </c>
      <c r="H416" s="76">
        <f ca="1">SUM($G$4:G416)</f>
        <v>-25.155084302325577</v>
      </c>
      <c r="I416" s="76">
        <f t="shared" ca="1" si="52"/>
        <v>0</v>
      </c>
      <c r="J416" s="76">
        <f t="shared" ca="1" si="53"/>
        <v>0</v>
      </c>
    </row>
    <row r="417" spans="2:10" x14ac:dyDescent="0.2">
      <c r="B417" s="66"/>
      <c r="C417" s="46">
        <f t="shared" ca="1" si="47"/>
        <v>0</v>
      </c>
      <c r="D417" s="46">
        <f t="shared" ca="1" si="48"/>
        <v>860</v>
      </c>
      <c r="E417" s="74">
        <f t="shared" ca="1" si="49"/>
        <v>1</v>
      </c>
      <c r="F417">
        <f t="shared" ca="1" si="50"/>
        <v>1</v>
      </c>
      <c r="G417" s="76">
        <f t="shared" ca="1" si="51"/>
        <v>0</v>
      </c>
      <c r="H417" s="76">
        <f ca="1">SUM($G$4:G417)</f>
        <v>-25.155084302325577</v>
      </c>
      <c r="I417" s="76">
        <f t="shared" ca="1" si="52"/>
        <v>0</v>
      </c>
      <c r="J417" s="76">
        <f t="shared" ca="1" si="53"/>
        <v>0</v>
      </c>
    </row>
    <row r="418" spans="2:10" x14ac:dyDescent="0.2">
      <c r="B418" s="66"/>
      <c r="C418" s="46">
        <f t="shared" ca="1" si="47"/>
        <v>0</v>
      </c>
      <c r="D418" s="46">
        <f t="shared" ca="1" si="48"/>
        <v>860</v>
      </c>
      <c r="E418" s="74">
        <f t="shared" ca="1" si="49"/>
        <v>1</v>
      </c>
      <c r="F418">
        <f t="shared" ca="1" si="50"/>
        <v>1</v>
      </c>
      <c r="G418" s="76">
        <f t="shared" ca="1" si="51"/>
        <v>0</v>
      </c>
      <c r="H418" s="76">
        <f ca="1">SUM($G$4:G418)</f>
        <v>-25.155084302325577</v>
      </c>
      <c r="I418" s="76">
        <f t="shared" ca="1" si="52"/>
        <v>0</v>
      </c>
      <c r="J418" s="76">
        <f t="shared" ca="1" si="53"/>
        <v>0</v>
      </c>
    </row>
    <row r="419" spans="2:10" x14ac:dyDescent="0.2">
      <c r="B419" s="66"/>
      <c r="C419" s="46">
        <f t="shared" ca="1" si="47"/>
        <v>0</v>
      </c>
      <c r="D419" s="46">
        <f t="shared" ca="1" si="48"/>
        <v>860</v>
      </c>
      <c r="E419" s="74">
        <f t="shared" ca="1" si="49"/>
        <v>1</v>
      </c>
      <c r="F419">
        <f t="shared" ca="1" si="50"/>
        <v>1</v>
      </c>
      <c r="G419" s="76">
        <f t="shared" ca="1" si="51"/>
        <v>0</v>
      </c>
      <c r="H419" s="76">
        <f ca="1">SUM($G$4:G419)</f>
        <v>-25.155084302325577</v>
      </c>
      <c r="I419" s="76">
        <f t="shared" ca="1" si="52"/>
        <v>0</v>
      </c>
      <c r="J419" s="76">
        <f t="shared" ca="1" si="53"/>
        <v>0</v>
      </c>
    </row>
    <row r="420" spans="2:10" x14ac:dyDescent="0.2">
      <c r="B420" s="66"/>
      <c r="C420" s="46">
        <f t="shared" ca="1" si="47"/>
        <v>0</v>
      </c>
      <c r="D420" s="46">
        <f t="shared" ca="1" si="48"/>
        <v>860</v>
      </c>
      <c r="E420" s="74">
        <f t="shared" ca="1" si="49"/>
        <v>1</v>
      </c>
      <c r="F420">
        <f t="shared" ca="1" si="50"/>
        <v>1</v>
      </c>
      <c r="G420" s="76">
        <f t="shared" ca="1" si="51"/>
        <v>0</v>
      </c>
      <c r="H420" s="76">
        <f ca="1">SUM($G$4:G420)</f>
        <v>-25.155084302325577</v>
      </c>
      <c r="I420" s="76">
        <f t="shared" ca="1" si="52"/>
        <v>0</v>
      </c>
      <c r="J420" s="76">
        <f t="shared" ca="1" si="53"/>
        <v>0</v>
      </c>
    </row>
    <row r="421" spans="2:10" x14ac:dyDescent="0.2">
      <c r="B421" s="66"/>
      <c r="C421" s="46">
        <f t="shared" ca="1" si="47"/>
        <v>0</v>
      </c>
      <c r="D421" s="46">
        <f t="shared" ca="1" si="48"/>
        <v>860</v>
      </c>
      <c r="E421" s="74">
        <f t="shared" ca="1" si="49"/>
        <v>1</v>
      </c>
      <c r="F421">
        <f t="shared" ca="1" si="50"/>
        <v>1</v>
      </c>
      <c r="G421" s="76">
        <f t="shared" ca="1" si="51"/>
        <v>0</v>
      </c>
      <c r="H421" s="76">
        <f ca="1">SUM($G$4:G421)</f>
        <v>-25.155084302325577</v>
      </c>
      <c r="I421" s="76">
        <f t="shared" ca="1" si="52"/>
        <v>0</v>
      </c>
      <c r="J421" s="76">
        <f t="shared" ca="1" si="53"/>
        <v>0</v>
      </c>
    </row>
    <row r="422" spans="2:10" x14ac:dyDescent="0.2">
      <c r="B422" s="66"/>
      <c r="C422" s="46">
        <f t="shared" ca="1" si="47"/>
        <v>0</v>
      </c>
      <c r="D422" s="46">
        <f t="shared" ca="1" si="48"/>
        <v>860</v>
      </c>
      <c r="E422" s="74">
        <f t="shared" ca="1" si="49"/>
        <v>1</v>
      </c>
      <c r="F422">
        <f t="shared" ca="1" si="50"/>
        <v>1</v>
      </c>
      <c r="G422" s="76">
        <f t="shared" ca="1" si="51"/>
        <v>0</v>
      </c>
      <c r="H422" s="76">
        <f ca="1">SUM($G$4:G422)</f>
        <v>-25.155084302325577</v>
      </c>
      <c r="I422" s="76">
        <f t="shared" ca="1" si="52"/>
        <v>0</v>
      </c>
      <c r="J422" s="76">
        <f t="shared" ca="1" si="53"/>
        <v>0</v>
      </c>
    </row>
    <row r="423" spans="2:10" x14ac:dyDescent="0.2">
      <c r="B423" s="66"/>
      <c r="C423" s="46">
        <f t="shared" ca="1" si="47"/>
        <v>0</v>
      </c>
      <c r="D423" s="46">
        <f t="shared" ca="1" si="48"/>
        <v>860</v>
      </c>
      <c r="E423" s="74">
        <f t="shared" ca="1" si="49"/>
        <v>1</v>
      </c>
      <c r="F423">
        <f t="shared" ca="1" si="50"/>
        <v>1</v>
      </c>
      <c r="G423" s="76">
        <f t="shared" ca="1" si="51"/>
        <v>0</v>
      </c>
      <c r="H423" s="76">
        <f ca="1">SUM($G$4:G423)</f>
        <v>-25.155084302325577</v>
      </c>
      <c r="I423" s="76">
        <f t="shared" ca="1" si="52"/>
        <v>0</v>
      </c>
      <c r="J423" s="76">
        <f t="shared" ca="1" si="53"/>
        <v>0</v>
      </c>
    </row>
    <row r="424" spans="2:10" x14ac:dyDescent="0.2">
      <c r="B424" s="66"/>
      <c r="C424" s="46">
        <f t="shared" ca="1" si="47"/>
        <v>0</v>
      </c>
      <c r="D424" s="46">
        <f t="shared" ca="1" si="48"/>
        <v>860</v>
      </c>
      <c r="E424" s="74">
        <f t="shared" ca="1" si="49"/>
        <v>1</v>
      </c>
      <c r="F424">
        <f t="shared" ca="1" si="50"/>
        <v>1</v>
      </c>
      <c r="G424" s="76">
        <f t="shared" ca="1" si="51"/>
        <v>0</v>
      </c>
      <c r="H424" s="76">
        <f ca="1">SUM($G$4:G424)</f>
        <v>-25.155084302325577</v>
      </c>
      <c r="I424" s="76">
        <f t="shared" ca="1" si="52"/>
        <v>0</v>
      </c>
      <c r="J424" s="76">
        <f t="shared" ca="1" si="53"/>
        <v>0</v>
      </c>
    </row>
    <row r="425" spans="2:10" x14ac:dyDescent="0.2">
      <c r="B425" s="66"/>
      <c r="C425" s="46">
        <f t="shared" ca="1" si="47"/>
        <v>0</v>
      </c>
      <c r="D425" s="46">
        <f t="shared" ca="1" si="48"/>
        <v>860</v>
      </c>
      <c r="E425" s="74">
        <f t="shared" ca="1" si="49"/>
        <v>1</v>
      </c>
      <c r="F425">
        <f t="shared" ca="1" si="50"/>
        <v>1</v>
      </c>
      <c r="G425" s="76">
        <f t="shared" ca="1" si="51"/>
        <v>0</v>
      </c>
      <c r="H425" s="76">
        <f ca="1">SUM($G$4:G425)</f>
        <v>-25.155084302325577</v>
      </c>
      <c r="I425" s="76">
        <f t="shared" ca="1" si="52"/>
        <v>0</v>
      </c>
      <c r="J425" s="76">
        <f t="shared" ca="1" si="53"/>
        <v>0</v>
      </c>
    </row>
    <row r="426" spans="2:10" x14ac:dyDescent="0.2">
      <c r="B426" s="66"/>
      <c r="C426" s="46">
        <f t="shared" ca="1" si="47"/>
        <v>0</v>
      </c>
      <c r="D426" s="46">
        <f t="shared" ca="1" si="48"/>
        <v>860</v>
      </c>
      <c r="E426" s="74">
        <f t="shared" ca="1" si="49"/>
        <v>1</v>
      </c>
      <c r="F426">
        <f t="shared" ca="1" si="50"/>
        <v>1</v>
      </c>
      <c r="G426" s="76">
        <f t="shared" ca="1" si="51"/>
        <v>0</v>
      </c>
      <c r="H426" s="76">
        <f ca="1">SUM($G$4:G426)</f>
        <v>-25.155084302325577</v>
      </c>
      <c r="I426" s="76">
        <f t="shared" ca="1" si="52"/>
        <v>0</v>
      </c>
      <c r="J426" s="76">
        <f t="shared" ca="1" si="53"/>
        <v>0</v>
      </c>
    </row>
    <row r="427" spans="2:10" x14ac:dyDescent="0.2">
      <c r="B427" s="66"/>
      <c r="C427" s="46">
        <f t="shared" ca="1" si="47"/>
        <v>0</v>
      </c>
      <c r="D427" s="46">
        <f t="shared" ca="1" si="48"/>
        <v>860</v>
      </c>
      <c r="E427" s="74">
        <f t="shared" ca="1" si="49"/>
        <v>1</v>
      </c>
      <c r="F427">
        <f t="shared" ca="1" si="50"/>
        <v>1</v>
      </c>
      <c r="G427" s="76">
        <f t="shared" ca="1" si="51"/>
        <v>0</v>
      </c>
      <c r="H427" s="76">
        <f ca="1">SUM($G$4:G427)</f>
        <v>-25.155084302325577</v>
      </c>
      <c r="I427" s="76">
        <f t="shared" ca="1" si="52"/>
        <v>0</v>
      </c>
      <c r="J427" s="76">
        <f t="shared" ca="1" si="53"/>
        <v>0</v>
      </c>
    </row>
    <row r="428" spans="2:10" x14ac:dyDescent="0.2">
      <c r="B428" s="66"/>
      <c r="C428" s="46">
        <f t="shared" ca="1" si="47"/>
        <v>0</v>
      </c>
      <c r="D428" s="46">
        <f t="shared" ca="1" si="48"/>
        <v>860</v>
      </c>
      <c r="E428" s="74">
        <f t="shared" ca="1" si="49"/>
        <v>1</v>
      </c>
      <c r="F428">
        <f t="shared" ca="1" si="50"/>
        <v>1</v>
      </c>
      <c r="G428" s="76">
        <f t="shared" ca="1" si="51"/>
        <v>0</v>
      </c>
      <c r="H428" s="76">
        <f ca="1">SUM($G$4:G428)</f>
        <v>-25.155084302325577</v>
      </c>
      <c r="I428" s="76">
        <f t="shared" ca="1" si="52"/>
        <v>0</v>
      </c>
      <c r="J428" s="76">
        <f t="shared" ca="1" si="53"/>
        <v>0</v>
      </c>
    </row>
    <row r="429" spans="2:10" x14ac:dyDescent="0.2">
      <c r="B429" s="66"/>
      <c r="C429" s="46">
        <f t="shared" ca="1" si="47"/>
        <v>0</v>
      </c>
      <c r="D429" s="46">
        <f t="shared" ca="1" si="48"/>
        <v>860</v>
      </c>
      <c r="E429" s="74">
        <f t="shared" ca="1" si="49"/>
        <v>1</v>
      </c>
      <c r="F429">
        <f t="shared" ca="1" si="50"/>
        <v>1</v>
      </c>
      <c r="G429" s="76">
        <f t="shared" ca="1" si="51"/>
        <v>0</v>
      </c>
      <c r="H429" s="76">
        <f ca="1">SUM($G$4:G429)</f>
        <v>-25.155084302325577</v>
      </c>
      <c r="I429" s="76">
        <f t="shared" ca="1" si="52"/>
        <v>0</v>
      </c>
      <c r="J429" s="76">
        <f t="shared" ca="1" si="53"/>
        <v>0</v>
      </c>
    </row>
    <row r="430" spans="2:10" x14ac:dyDescent="0.2">
      <c r="B430" s="66"/>
      <c r="C430" s="46">
        <f t="shared" ca="1" si="47"/>
        <v>0</v>
      </c>
      <c r="D430" s="46">
        <f t="shared" ca="1" si="48"/>
        <v>860</v>
      </c>
      <c r="E430" s="74">
        <f t="shared" ca="1" si="49"/>
        <v>1</v>
      </c>
      <c r="F430">
        <f t="shared" ca="1" si="50"/>
        <v>1</v>
      </c>
      <c r="G430" s="76">
        <f t="shared" ca="1" si="51"/>
        <v>0</v>
      </c>
      <c r="H430" s="76">
        <f ca="1">SUM($G$4:G430)</f>
        <v>-25.155084302325577</v>
      </c>
      <c r="I430" s="76">
        <f t="shared" ca="1" si="52"/>
        <v>0</v>
      </c>
      <c r="J430" s="76">
        <f t="shared" ca="1" si="53"/>
        <v>0</v>
      </c>
    </row>
    <row r="431" spans="2:10" x14ac:dyDescent="0.2">
      <c r="B431" s="66"/>
      <c r="C431" s="46">
        <f t="shared" ca="1" si="47"/>
        <v>0</v>
      </c>
      <c r="D431" s="46">
        <f t="shared" ca="1" si="48"/>
        <v>860</v>
      </c>
      <c r="E431" s="74">
        <f t="shared" ca="1" si="49"/>
        <v>1</v>
      </c>
      <c r="F431">
        <f t="shared" ca="1" si="50"/>
        <v>1</v>
      </c>
      <c r="G431" s="76">
        <f t="shared" ca="1" si="51"/>
        <v>0</v>
      </c>
      <c r="H431" s="76">
        <f ca="1">SUM($G$4:G431)</f>
        <v>-25.155084302325577</v>
      </c>
      <c r="I431" s="76">
        <f t="shared" ca="1" si="52"/>
        <v>0</v>
      </c>
      <c r="J431" s="76">
        <f t="shared" ca="1" si="53"/>
        <v>0</v>
      </c>
    </row>
    <row r="432" spans="2:10" x14ac:dyDescent="0.2">
      <c r="B432" s="66"/>
      <c r="C432" s="46">
        <f t="shared" ca="1" si="47"/>
        <v>0</v>
      </c>
      <c r="D432" s="46">
        <f t="shared" ca="1" si="48"/>
        <v>860</v>
      </c>
      <c r="E432" s="74">
        <f t="shared" ca="1" si="49"/>
        <v>1</v>
      </c>
      <c r="F432">
        <f t="shared" ca="1" si="50"/>
        <v>1</v>
      </c>
      <c r="G432" s="76">
        <f t="shared" ca="1" si="51"/>
        <v>0</v>
      </c>
      <c r="H432" s="76">
        <f ca="1">SUM($G$4:G432)</f>
        <v>-25.155084302325577</v>
      </c>
      <c r="I432" s="76">
        <f t="shared" ca="1" si="52"/>
        <v>0</v>
      </c>
      <c r="J432" s="76">
        <f t="shared" ca="1" si="53"/>
        <v>0</v>
      </c>
    </row>
    <row r="433" spans="2:10" x14ac:dyDescent="0.2">
      <c r="B433" s="66"/>
      <c r="C433" s="46">
        <f t="shared" ca="1" si="47"/>
        <v>0</v>
      </c>
      <c r="D433" s="46">
        <f t="shared" ca="1" si="48"/>
        <v>860</v>
      </c>
      <c r="E433" s="74">
        <f t="shared" ca="1" si="49"/>
        <v>1</v>
      </c>
      <c r="F433">
        <f t="shared" ca="1" si="50"/>
        <v>1</v>
      </c>
      <c r="G433" s="76">
        <f t="shared" ca="1" si="51"/>
        <v>0</v>
      </c>
      <c r="H433" s="76">
        <f ca="1">SUM($G$4:G433)</f>
        <v>-25.155084302325577</v>
      </c>
      <c r="I433" s="76">
        <f t="shared" ca="1" si="52"/>
        <v>0</v>
      </c>
      <c r="J433" s="76">
        <f t="shared" ca="1" si="53"/>
        <v>0</v>
      </c>
    </row>
    <row r="434" spans="2:10" x14ac:dyDescent="0.2">
      <c r="B434" s="66"/>
      <c r="C434" s="46">
        <f t="shared" ca="1" si="47"/>
        <v>0</v>
      </c>
      <c r="D434" s="46">
        <f t="shared" ca="1" si="48"/>
        <v>860</v>
      </c>
      <c r="E434" s="74">
        <f t="shared" ca="1" si="49"/>
        <v>1</v>
      </c>
      <c r="F434">
        <f t="shared" ca="1" si="50"/>
        <v>1</v>
      </c>
      <c r="G434" s="76">
        <f t="shared" ca="1" si="51"/>
        <v>0</v>
      </c>
      <c r="H434" s="76">
        <f ca="1">SUM($G$4:G434)</f>
        <v>-25.155084302325577</v>
      </c>
      <c r="I434" s="76">
        <f t="shared" ca="1" si="52"/>
        <v>0</v>
      </c>
      <c r="J434" s="76">
        <f t="shared" ca="1" si="53"/>
        <v>0</v>
      </c>
    </row>
    <row r="435" spans="2:10" x14ac:dyDescent="0.2">
      <c r="B435" s="66"/>
      <c r="C435" s="46">
        <f t="shared" ca="1" si="47"/>
        <v>0</v>
      </c>
      <c r="D435" s="46">
        <f t="shared" ca="1" si="48"/>
        <v>860</v>
      </c>
      <c r="E435" s="74">
        <f t="shared" ca="1" si="49"/>
        <v>1</v>
      </c>
      <c r="F435">
        <f t="shared" ca="1" si="50"/>
        <v>1</v>
      </c>
      <c r="G435" s="76">
        <f t="shared" ca="1" si="51"/>
        <v>0</v>
      </c>
      <c r="H435" s="76">
        <f ca="1">SUM($G$4:G435)</f>
        <v>-25.155084302325577</v>
      </c>
      <c r="I435" s="76">
        <f t="shared" ca="1" si="52"/>
        <v>0</v>
      </c>
      <c r="J435" s="76">
        <f t="shared" ca="1" si="53"/>
        <v>0</v>
      </c>
    </row>
    <row r="436" spans="2:10" x14ac:dyDescent="0.2">
      <c r="B436" s="66"/>
      <c r="C436" s="46">
        <f t="shared" ca="1" si="47"/>
        <v>0</v>
      </c>
      <c r="D436" s="46">
        <f t="shared" ca="1" si="48"/>
        <v>860</v>
      </c>
      <c r="E436" s="74">
        <f t="shared" ca="1" si="49"/>
        <v>1</v>
      </c>
      <c r="F436">
        <f t="shared" ca="1" si="50"/>
        <v>1</v>
      </c>
      <c r="G436" s="76">
        <f t="shared" ca="1" si="51"/>
        <v>0</v>
      </c>
      <c r="H436" s="76">
        <f ca="1">SUM($G$4:G436)</f>
        <v>-25.155084302325577</v>
      </c>
      <c r="I436" s="76">
        <f t="shared" ca="1" si="52"/>
        <v>0</v>
      </c>
      <c r="J436" s="76">
        <f t="shared" ca="1" si="53"/>
        <v>0</v>
      </c>
    </row>
    <row r="437" spans="2:10" x14ac:dyDescent="0.2">
      <c r="B437" s="66"/>
      <c r="C437" s="46">
        <f t="shared" ca="1" si="47"/>
        <v>0</v>
      </c>
      <c r="D437" s="46">
        <f t="shared" ca="1" si="48"/>
        <v>860</v>
      </c>
      <c r="E437" s="74">
        <f t="shared" ca="1" si="49"/>
        <v>1</v>
      </c>
      <c r="F437">
        <f t="shared" ca="1" si="50"/>
        <v>1</v>
      </c>
      <c r="G437" s="76">
        <f t="shared" ca="1" si="51"/>
        <v>0</v>
      </c>
      <c r="H437" s="76">
        <f ca="1">SUM($G$4:G437)</f>
        <v>-25.155084302325577</v>
      </c>
      <c r="I437" s="76">
        <f t="shared" ca="1" si="52"/>
        <v>0</v>
      </c>
      <c r="J437" s="76">
        <f t="shared" ca="1" si="53"/>
        <v>0</v>
      </c>
    </row>
    <row r="438" spans="2:10" x14ac:dyDescent="0.2">
      <c r="B438" s="66"/>
      <c r="C438" s="46">
        <f t="shared" ca="1" si="47"/>
        <v>0</v>
      </c>
      <c r="D438" s="46">
        <f t="shared" ca="1" si="48"/>
        <v>860</v>
      </c>
      <c r="E438" s="74">
        <f t="shared" ca="1" si="49"/>
        <v>1</v>
      </c>
      <c r="F438">
        <f t="shared" ca="1" si="50"/>
        <v>1</v>
      </c>
      <c r="G438" s="76">
        <f t="shared" ca="1" si="51"/>
        <v>0</v>
      </c>
      <c r="H438" s="76">
        <f ca="1">SUM($G$4:G438)</f>
        <v>-25.155084302325577</v>
      </c>
      <c r="I438" s="76">
        <f t="shared" ca="1" si="52"/>
        <v>0</v>
      </c>
      <c r="J438" s="76">
        <f t="shared" ca="1" si="53"/>
        <v>0</v>
      </c>
    </row>
    <row r="439" spans="2:10" x14ac:dyDescent="0.2">
      <c r="B439" s="66"/>
      <c r="C439" s="46">
        <f t="shared" ca="1" si="47"/>
        <v>0</v>
      </c>
      <c r="D439" s="46">
        <f t="shared" ca="1" si="48"/>
        <v>860</v>
      </c>
      <c r="E439" s="74">
        <f t="shared" ca="1" si="49"/>
        <v>1</v>
      </c>
      <c r="F439">
        <f t="shared" ca="1" si="50"/>
        <v>1</v>
      </c>
      <c r="G439" s="76">
        <f t="shared" ca="1" si="51"/>
        <v>0</v>
      </c>
      <c r="H439" s="76">
        <f ca="1">SUM($G$4:G439)</f>
        <v>-25.155084302325577</v>
      </c>
      <c r="I439" s="76">
        <f t="shared" ca="1" si="52"/>
        <v>0</v>
      </c>
      <c r="J439" s="76">
        <f t="shared" ca="1" si="53"/>
        <v>0</v>
      </c>
    </row>
    <row r="440" spans="2:10" x14ac:dyDescent="0.2">
      <c r="B440" s="66"/>
      <c r="C440" s="46">
        <f t="shared" ca="1" si="47"/>
        <v>0</v>
      </c>
      <c r="D440" s="46">
        <f t="shared" ca="1" si="48"/>
        <v>860</v>
      </c>
      <c r="E440" s="74">
        <f t="shared" ca="1" si="49"/>
        <v>1</v>
      </c>
      <c r="F440">
        <f t="shared" ca="1" si="50"/>
        <v>1</v>
      </c>
      <c r="G440" s="76">
        <f t="shared" ca="1" si="51"/>
        <v>0</v>
      </c>
      <c r="H440" s="76">
        <f ca="1">SUM($G$4:G440)</f>
        <v>-25.155084302325577</v>
      </c>
      <c r="I440" s="76">
        <f t="shared" ca="1" si="52"/>
        <v>0</v>
      </c>
      <c r="J440" s="76">
        <f t="shared" ca="1" si="53"/>
        <v>0</v>
      </c>
    </row>
    <row r="441" spans="2:10" x14ac:dyDescent="0.2">
      <c r="B441" s="66"/>
      <c r="C441" s="46">
        <f t="shared" ca="1" si="47"/>
        <v>0</v>
      </c>
      <c r="D441" s="46">
        <f t="shared" ca="1" si="48"/>
        <v>860</v>
      </c>
      <c r="E441" s="74">
        <f t="shared" ca="1" si="49"/>
        <v>1</v>
      </c>
      <c r="F441">
        <f t="shared" ca="1" si="50"/>
        <v>1</v>
      </c>
      <c r="G441" s="76">
        <f t="shared" ca="1" si="51"/>
        <v>0</v>
      </c>
      <c r="H441" s="76">
        <f ca="1">SUM($G$4:G441)</f>
        <v>-25.155084302325577</v>
      </c>
      <c r="I441" s="76">
        <f t="shared" ca="1" si="52"/>
        <v>0</v>
      </c>
      <c r="J441" s="76">
        <f t="shared" ca="1" si="53"/>
        <v>0</v>
      </c>
    </row>
    <row r="442" spans="2:10" x14ac:dyDescent="0.2">
      <c r="B442" s="66"/>
      <c r="C442" s="46">
        <f t="shared" ca="1" si="47"/>
        <v>0</v>
      </c>
      <c r="D442" s="46">
        <f t="shared" ca="1" si="48"/>
        <v>860</v>
      </c>
      <c r="E442" s="74">
        <f t="shared" ca="1" si="49"/>
        <v>1</v>
      </c>
      <c r="F442">
        <f t="shared" ca="1" si="50"/>
        <v>1</v>
      </c>
      <c r="G442" s="76">
        <f t="shared" ca="1" si="51"/>
        <v>0</v>
      </c>
      <c r="H442" s="76">
        <f ca="1">SUM($G$4:G442)</f>
        <v>-25.155084302325577</v>
      </c>
      <c r="I442" s="76">
        <f t="shared" ca="1" si="52"/>
        <v>0</v>
      </c>
      <c r="J442" s="76">
        <f t="shared" ca="1" si="53"/>
        <v>0</v>
      </c>
    </row>
    <row r="443" spans="2:10" x14ac:dyDescent="0.2">
      <c r="B443" s="66"/>
      <c r="C443" s="46">
        <f t="shared" ca="1" si="47"/>
        <v>0</v>
      </c>
      <c r="D443" s="46">
        <f t="shared" ca="1" si="48"/>
        <v>860</v>
      </c>
      <c r="E443" s="74">
        <f t="shared" ca="1" si="49"/>
        <v>1</v>
      </c>
      <c r="F443">
        <f t="shared" ca="1" si="50"/>
        <v>1</v>
      </c>
      <c r="G443" s="76">
        <f t="shared" ca="1" si="51"/>
        <v>0</v>
      </c>
      <c r="H443" s="76">
        <f ca="1">SUM($G$4:G443)</f>
        <v>-25.155084302325577</v>
      </c>
      <c r="I443" s="76">
        <f t="shared" ca="1" si="52"/>
        <v>0</v>
      </c>
      <c r="J443" s="76">
        <f t="shared" ca="1" si="53"/>
        <v>0</v>
      </c>
    </row>
    <row r="444" spans="2:10" x14ac:dyDescent="0.2">
      <c r="B444" s="66"/>
      <c r="C444" s="46">
        <f t="shared" ca="1" si="47"/>
        <v>0</v>
      </c>
      <c r="D444" s="46">
        <f t="shared" ca="1" si="48"/>
        <v>860</v>
      </c>
      <c r="E444" s="74">
        <f t="shared" ca="1" si="49"/>
        <v>1</v>
      </c>
      <c r="F444">
        <f t="shared" ca="1" si="50"/>
        <v>1</v>
      </c>
      <c r="G444" s="76">
        <f t="shared" ca="1" si="51"/>
        <v>0</v>
      </c>
      <c r="H444" s="76">
        <f ca="1">SUM($G$4:G444)</f>
        <v>-25.155084302325577</v>
      </c>
      <c r="I444" s="76">
        <f t="shared" ca="1" si="52"/>
        <v>0</v>
      </c>
      <c r="J444" s="76">
        <f t="shared" ca="1" si="53"/>
        <v>0</v>
      </c>
    </row>
    <row r="445" spans="2:10" x14ac:dyDescent="0.2">
      <c r="B445" s="66"/>
      <c r="C445" s="46">
        <f t="shared" ca="1" si="47"/>
        <v>0</v>
      </c>
      <c r="D445" s="46">
        <f t="shared" ca="1" si="48"/>
        <v>860</v>
      </c>
      <c r="E445" s="74">
        <f t="shared" ca="1" si="49"/>
        <v>1</v>
      </c>
      <c r="F445">
        <f t="shared" ca="1" si="50"/>
        <v>1</v>
      </c>
      <c r="G445" s="76">
        <f t="shared" ca="1" si="51"/>
        <v>0</v>
      </c>
      <c r="H445" s="76">
        <f ca="1">SUM($G$4:G445)</f>
        <v>-25.155084302325577</v>
      </c>
      <c r="I445" s="76">
        <f t="shared" ca="1" si="52"/>
        <v>0</v>
      </c>
      <c r="J445" s="76">
        <f t="shared" ca="1" si="53"/>
        <v>0</v>
      </c>
    </row>
    <row r="446" spans="2:10" x14ac:dyDescent="0.2">
      <c r="B446" s="66"/>
      <c r="C446" s="46">
        <f t="shared" ca="1" si="47"/>
        <v>0</v>
      </c>
      <c r="D446" s="46">
        <f t="shared" ca="1" si="48"/>
        <v>860</v>
      </c>
      <c r="E446" s="74">
        <f t="shared" ca="1" si="49"/>
        <v>1</v>
      </c>
      <c r="F446">
        <f t="shared" ca="1" si="50"/>
        <v>1</v>
      </c>
      <c r="G446" s="76">
        <f t="shared" ca="1" si="51"/>
        <v>0</v>
      </c>
      <c r="H446" s="76">
        <f ca="1">SUM($G$4:G446)</f>
        <v>-25.155084302325577</v>
      </c>
      <c r="I446" s="76">
        <f t="shared" ca="1" si="52"/>
        <v>0</v>
      </c>
      <c r="J446" s="76">
        <f t="shared" ca="1" si="53"/>
        <v>0</v>
      </c>
    </row>
    <row r="447" spans="2:10" x14ac:dyDescent="0.2">
      <c r="B447" s="66"/>
      <c r="C447" s="46">
        <f t="shared" ca="1" si="47"/>
        <v>0</v>
      </c>
      <c r="D447" s="46">
        <f t="shared" ca="1" si="48"/>
        <v>860</v>
      </c>
      <c r="E447" s="74">
        <f t="shared" ca="1" si="49"/>
        <v>1</v>
      </c>
      <c r="F447">
        <f t="shared" ca="1" si="50"/>
        <v>1</v>
      </c>
      <c r="G447" s="76">
        <f t="shared" ca="1" si="51"/>
        <v>0</v>
      </c>
      <c r="H447" s="76">
        <f ca="1">SUM($G$4:G447)</f>
        <v>-25.155084302325577</v>
      </c>
      <c r="I447" s="76">
        <f t="shared" ca="1" si="52"/>
        <v>0</v>
      </c>
      <c r="J447" s="76">
        <f t="shared" ca="1" si="53"/>
        <v>0</v>
      </c>
    </row>
    <row r="448" spans="2:10" x14ac:dyDescent="0.2">
      <c r="B448" s="66"/>
      <c r="C448" s="46">
        <f t="shared" ca="1" si="47"/>
        <v>0</v>
      </c>
      <c r="D448" s="46">
        <f t="shared" ca="1" si="48"/>
        <v>860</v>
      </c>
      <c r="E448" s="74">
        <f t="shared" ca="1" si="49"/>
        <v>1</v>
      </c>
      <c r="F448">
        <f t="shared" ca="1" si="50"/>
        <v>1</v>
      </c>
      <c r="G448" s="76">
        <f t="shared" ca="1" si="51"/>
        <v>0</v>
      </c>
      <c r="H448" s="76">
        <f ca="1">SUM($G$4:G448)</f>
        <v>-25.155084302325577</v>
      </c>
      <c r="I448" s="76">
        <f t="shared" ca="1" si="52"/>
        <v>0</v>
      </c>
      <c r="J448" s="76">
        <f t="shared" ca="1" si="53"/>
        <v>0</v>
      </c>
    </row>
    <row r="449" spans="2:10" x14ac:dyDescent="0.2">
      <c r="B449" s="66"/>
      <c r="C449" s="46">
        <f t="shared" ca="1" si="47"/>
        <v>0</v>
      </c>
      <c r="D449" s="46">
        <f t="shared" ca="1" si="48"/>
        <v>860</v>
      </c>
      <c r="E449" s="74">
        <f t="shared" ca="1" si="49"/>
        <v>1</v>
      </c>
      <c r="F449">
        <f t="shared" ca="1" si="50"/>
        <v>1</v>
      </c>
      <c r="G449" s="76">
        <f t="shared" ca="1" si="51"/>
        <v>0</v>
      </c>
      <c r="H449" s="76">
        <f ca="1">SUM($G$4:G449)</f>
        <v>-25.155084302325577</v>
      </c>
      <c r="I449" s="76">
        <f t="shared" ca="1" si="52"/>
        <v>0</v>
      </c>
      <c r="J449" s="76">
        <f t="shared" ca="1" si="53"/>
        <v>0</v>
      </c>
    </row>
    <row r="450" spans="2:10" x14ac:dyDescent="0.2">
      <c r="B450" s="66"/>
      <c r="C450" s="46">
        <f t="shared" ca="1" si="47"/>
        <v>0</v>
      </c>
      <c r="D450" s="46">
        <f t="shared" ca="1" si="48"/>
        <v>860</v>
      </c>
      <c r="E450" s="74">
        <f t="shared" ca="1" si="49"/>
        <v>1</v>
      </c>
      <c r="F450">
        <f t="shared" ca="1" si="50"/>
        <v>1</v>
      </c>
      <c r="G450" s="76">
        <f t="shared" ca="1" si="51"/>
        <v>0</v>
      </c>
      <c r="H450" s="76">
        <f ca="1">SUM($G$4:G450)</f>
        <v>-25.155084302325577</v>
      </c>
      <c r="I450" s="76">
        <f t="shared" ca="1" si="52"/>
        <v>0</v>
      </c>
      <c r="J450" s="76">
        <f t="shared" ca="1" si="53"/>
        <v>0</v>
      </c>
    </row>
    <row r="451" spans="2:10" x14ac:dyDescent="0.2">
      <c r="B451" s="66"/>
      <c r="C451" s="46">
        <f t="shared" ca="1" si="47"/>
        <v>0</v>
      </c>
      <c r="D451" s="46">
        <f t="shared" ca="1" si="48"/>
        <v>860</v>
      </c>
      <c r="E451" s="74">
        <f t="shared" ca="1" si="49"/>
        <v>1</v>
      </c>
      <c r="F451">
        <f t="shared" ca="1" si="50"/>
        <v>1</v>
      </c>
      <c r="G451" s="76">
        <f t="shared" ca="1" si="51"/>
        <v>0</v>
      </c>
      <c r="H451" s="76">
        <f ca="1">SUM($G$4:G451)</f>
        <v>-25.155084302325577</v>
      </c>
      <c r="I451" s="76">
        <f t="shared" ca="1" si="52"/>
        <v>0</v>
      </c>
      <c r="J451" s="76">
        <f t="shared" ca="1" si="53"/>
        <v>0</v>
      </c>
    </row>
    <row r="452" spans="2:10" x14ac:dyDescent="0.2">
      <c r="B452" s="66"/>
      <c r="C452" s="46">
        <f t="shared" ref="C452:C515" ca="1" si="54">COUNTIF(RAW_DATA,B452)</f>
        <v>0</v>
      </c>
      <c r="D452" s="46">
        <f t="shared" ca="1" si="48"/>
        <v>860</v>
      </c>
      <c r="E452" s="74">
        <f t="shared" ca="1" si="49"/>
        <v>1</v>
      </c>
      <c r="F452">
        <f t="shared" ca="1" si="50"/>
        <v>1</v>
      </c>
      <c r="G452" s="76">
        <f t="shared" ca="1" si="51"/>
        <v>0</v>
      </c>
      <c r="H452" s="76">
        <f ca="1">SUM($G$4:G452)</f>
        <v>-25.155084302325577</v>
      </c>
      <c r="I452" s="76">
        <f t="shared" ca="1" si="52"/>
        <v>0</v>
      </c>
      <c r="J452" s="76">
        <f t="shared" ca="1" si="53"/>
        <v>0</v>
      </c>
    </row>
    <row r="453" spans="2:10" x14ac:dyDescent="0.2">
      <c r="B453" s="66"/>
      <c r="C453" s="46">
        <f t="shared" ca="1" si="54"/>
        <v>0</v>
      </c>
      <c r="D453" s="46">
        <f t="shared" ref="D453:D516" ca="1" si="55">COUNTIF(ALL_DATA,B453)+D452</f>
        <v>860</v>
      </c>
      <c r="E453" s="74">
        <f t="shared" ref="E453:E516" ca="1" si="56">1-C453/D453</f>
        <v>1</v>
      </c>
      <c r="F453">
        <f t="shared" ref="F453:F516" ca="1" si="57">PRODUCT(E454:E1304)</f>
        <v>1</v>
      </c>
      <c r="G453" s="76">
        <f t="shared" ref="G453:G516" ca="1" si="58">(B454-B453)*F453</f>
        <v>0</v>
      </c>
      <c r="H453" s="76">
        <f ca="1">SUM($G$4:G453)</f>
        <v>-25.155084302325577</v>
      </c>
      <c r="I453" s="76">
        <f t="shared" ca="1" si="52"/>
        <v>0</v>
      </c>
      <c r="J453" s="76">
        <f t="shared" ca="1" si="53"/>
        <v>0</v>
      </c>
    </row>
    <row r="454" spans="2:10" x14ac:dyDescent="0.2">
      <c r="B454" s="66"/>
      <c r="C454" s="46">
        <f t="shared" ca="1" si="54"/>
        <v>0</v>
      </c>
      <c r="D454" s="46">
        <f t="shared" ca="1" si="55"/>
        <v>860</v>
      </c>
      <c r="E454" s="74">
        <f t="shared" ca="1" si="56"/>
        <v>1</v>
      </c>
      <c r="F454">
        <f t="shared" ca="1" si="57"/>
        <v>1</v>
      </c>
      <c r="G454" s="76">
        <f t="shared" ca="1" si="58"/>
        <v>0</v>
      </c>
      <c r="H454" s="76">
        <f ca="1">SUM($G$4:G454)</f>
        <v>-25.155084302325577</v>
      </c>
      <c r="I454" s="76">
        <f t="shared" ref="I454:I517" ca="1" si="59">B454*(F454-F453)</f>
        <v>0</v>
      </c>
      <c r="J454" s="76">
        <f t="shared" ref="J454:J517" ca="1" si="60">POWER(B454-$M$3,2)*(F454-F453)</f>
        <v>0</v>
      </c>
    </row>
    <row r="455" spans="2:10" x14ac:dyDescent="0.2">
      <c r="B455" s="66"/>
      <c r="C455" s="46">
        <f t="shared" ca="1" si="54"/>
        <v>0</v>
      </c>
      <c r="D455" s="46">
        <f t="shared" ca="1" si="55"/>
        <v>860</v>
      </c>
      <c r="E455" s="74">
        <f t="shared" ca="1" si="56"/>
        <v>1</v>
      </c>
      <c r="F455">
        <f t="shared" ca="1" si="57"/>
        <v>1</v>
      </c>
      <c r="G455" s="76">
        <f t="shared" ca="1" si="58"/>
        <v>0</v>
      </c>
      <c r="H455" s="76">
        <f ca="1">SUM($G$4:G455)</f>
        <v>-25.155084302325577</v>
      </c>
      <c r="I455" s="76">
        <f t="shared" ca="1" si="59"/>
        <v>0</v>
      </c>
      <c r="J455" s="76">
        <f t="shared" ca="1" si="60"/>
        <v>0</v>
      </c>
    </row>
    <row r="456" spans="2:10" x14ac:dyDescent="0.2">
      <c r="B456" s="66"/>
      <c r="C456" s="46">
        <f t="shared" ca="1" si="54"/>
        <v>0</v>
      </c>
      <c r="D456" s="46">
        <f t="shared" ca="1" si="55"/>
        <v>860</v>
      </c>
      <c r="E456" s="74">
        <f t="shared" ca="1" si="56"/>
        <v>1</v>
      </c>
      <c r="F456">
        <f t="shared" ca="1" si="57"/>
        <v>1</v>
      </c>
      <c r="G456" s="76">
        <f t="shared" ca="1" si="58"/>
        <v>0</v>
      </c>
      <c r="H456" s="76">
        <f ca="1">SUM($G$4:G456)</f>
        <v>-25.155084302325577</v>
      </c>
      <c r="I456" s="76">
        <f t="shared" ca="1" si="59"/>
        <v>0</v>
      </c>
      <c r="J456" s="76">
        <f t="shared" ca="1" si="60"/>
        <v>0</v>
      </c>
    </row>
    <row r="457" spans="2:10" x14ac:dyDescent="0.2">
      <c r="B457" s="66"/>
      <c r="C457" s="46">
        <f t="shared" ca="1" si="54"/>
        <v>0</v>
      </c>
      <c r="D457" s="46">
        <f t="shared" ca="1" si="55"/>
        <v>860</v>
      </c>
      <c r="E457" s="74">
        <f t="shared" ca="1" si="56"/>
        <v>1</v>
      </c>
      <c r="F457">
        <f t="shared" ca="1" si="57"/>
        <v>1</v>
      </c>
      <c r="G457" s="76">
        <f t="shared" ca="1" si="58"/>
        <v>0</v>
      </c>
      <c r="H457" s="76">
        <f ca="1">SUM($G$4:G457)</f>
        <v>-25.155084302325577</v>
      </c>
      <c r="I457" s="76">
        <f t="shared" ca="1" si="59"/>
        <v>0</v>
      </c>
      <c r="J457" s="76">
        <f t="shared" ca="1" si="60"/>
        <v>0</v>
      </c>
    </row>
    <row r="458" spans="2:10" x14ac:dyDescent="0.2">
      <c r="B458" s="66"/>
      <c r="C458" s="46">
        <f t="shared" ca="1" si="54"/>
        <v>0</v>
      </c>
      <c r="D458" s="46">
        <f t="shared" ca="1" si="55"/>
        <v>860</v>
      </c>
      <c r="E458" s="74">
        <f t="shared" ca="1" si="56"/>
        <v>1</v>
      </c>
      <c r="F458">
        <f t="shared" ca="1" si="57"/>
        <v>1</v>
      </c>
      <c r="G458" s="76">
        <f t="shared" ca="1" si="58"/>
        <v>0</v>
      </c>
      <c r="H458" s="76">
        <f ca="1">SUM($G$4:G458)</f>
        <v>-25.155084302325577</v>
      </c>
      <c r="I458" s="76">
        <f t="shared" ca="1" si="59"/>
        <v>0</v>
      </c>
      <c r="J458" s="76">
        <f t="shared" ca="1" si="60"/>
        <v>0</v>
      </c>
    </row>
    <row r="459" spans="2:10" x14ac:dyDescent="0.2">
      <c r="B459" s="66"/>
      <c r="C459" s="46">
        <f t="shared" ca="1" si="54"/>
        <v>0</v>
      </c>
      <c r="D459" s="46">
        <f t="shared" ca="1" si="55"/>
        <v>860</v>
      </c>
      <c r="E459" s="74">
        <f t="shared" ca="1" si="56"/>
        <v>1</v>
      </c>
      <c r="F459">
        <f t="shared" ca="1" si="57"/>
        <v>1</v>
      </c>
      <c r="G459" s="76">
        <f t="shared" ca="1" si="58"/>
        <v>0</v>
      </c>
      <c r="H459" s="76">
        <f ca="1">SUM($G$4:G459)</f>
        <v>-25.155084302325577</v>
      </c>
      <c r="I459" s="76">
        <f t="shared" ca="1" si="59"/>
        <v>0</v>
      </c>
      <c r="J459" s="76">
        <f t="shared" ca="1" si="60"/>
        <v>0</v>
      </c>
    </row>
    <row r="460" spans="2:10" x14ac:dyDescent="0.2">
      <c r="B460" s="66"/>
      <c r="C460" s="46">
        <f t="shared" ca="1" si="54"/>
        <v>0</v>
      </c>
      <c r="D460" s="46">
        <f t="shared" ca="1" si="55"/>
        <v>860</v>
      </c>
      <c r="E460" s="74">
        <f t="shared" ca="1" si="56"/>
        <v>1</v>
      </c>
      <c r="F460">
        <f t="shared" ca="1" si="57"/>
        <v>1</v>
      </c>
      <c r="G460" s="76">
        <f t="shared" ca="1" si="58"/>
        <v>0</v>
      </c>
      <c r="H460" s="76">
        <f ca="1">SUM($G$4:G460)</f>
        <v>-25.155084302325577</v>
      </c>
      <c r="I460" s="76">
        <f t="shared" ca="1" si="59"/>
        <v>0</v>
      </c>
      <c r="J460" s="76">
        <f t="shared" ca="1" si="60"/>
        <v>0</v>
      </c>
    </row>
    <row r="461" spans="2:10" x14ac:dyDescent="0.2">
      <c r="B461" s="66"/>
      <c r="C461" s="46">
        <f t="shared" ca="1" si="54"/>
        <v>0</v>
      </c>
      <c r="D461" s="46">
        <f t="shared" ca="1" si="55"/>
        <v>860</v>
      </c>
      <c r="E461" s="74">
        <f t="shared" ca="1" si="56"/>
        <v>1</v>
      </c>
      <c r="F461">
        <f t="shared" ca="1" si="57"/>
        <v>1</v>
      </c>
      <c r="G461" s="76">
        <f t="shared" ca="1" si="58"/>
        <v>0</v>
      </c>
      <c r="H461" s="76">
        <f ca="1">SUM($G$4:G461)</f>
        <v>-25.155084302325577</v>
      </c>
      <c r="I461" s="76">
        <f t="shared" ca="1" si="59"/>
        <v>0</v>
      </c>
      <c r="J461" s="76">
        <f t="shared" ca="1" si="60"/>
        <v>0</v>
      </c>
    </row>
    <row r="462" spans="2:10" x14ac:dyDescent="0.2">
      <c r="B462" s="66"/>
      <c r="C462" s="46">
        <f t="shared" ca="1" si="54"/>
        <v>0</v>
      </c>
      <c r="D462" s="46">
        <f t="shared" ca="1" si="55"/>
        <v>860</v>
      </c>
      <c r="E462" s="74">
        <f t="shared" ca="1" si="56"/>
        <v>1</v>
      </c>
      <c r="F462">
        <f t="shared" ca="1" si="57"/>
        <v>1</v>
      </c>
      <c r="G462" s="76">
        <f t="shared" ca="1" si="58"/>
        <v>0</v>
      </c>
      <c r="H462" s="76">
        <f ca="1">SUM($G$4:G462)</f>
        <v>-25.155084302325577</v>
      </c>
      <c r="I462" s="76">
        <f t="shared" ca="1" si="59"/>
        <v>0</v>
      </c>
      <c r="J462" s="76">
        <f t="shared" ca="1" si="60"/>
        <v>0</v>
      </c>
    </row>
    <row r="463" spans="2:10" x14ac:dyDescent="0.2">
      <c r="B463" s="66"/>
      <c r="C463" s="46">
        <f t="shared" ca="1" si="54"/>
        <v>0</v>
      </c>
      <c r="D463" s="46">
        <f t="shared" ca="1" si="55"/>
        <v>860</v>
      </c>
      <c r="E463" s="74">
        <f t="shared" ca="1" si="56"/>
        <v>1</v>
      </c>
      <c r="F463">
        <f t="shared" ca="1" si="57"/>
        <v>1</v>
      </c>
      <c r="G463" s="76">
        <f t="shared" ca="1" si="58"/>
        <v>0</v>
      </c>
      <c r="H463" s="76">
        <f ca="1">SUM($G$4:G463)</f>
        <v>-25.155084302325577</v>
      </c>
      <c r="I463" s="76">
        <f t="shared" ca="1" si="59"/>
        <v>0</v>
      </c>
      <c r="J463" s="76">
        <f t="shared" ca="1" si="60"/>
        <v>0</v>
      </c>
    </row>
    <row r="464" spans="2:10" x14ac:dyDescent="0.2">
      <c r="B464" s="66"/>
      <c r="C464" s="46">
        <f t="shared" ca="1" si="54"/>
        <v>0</v>
      </c>
      <c r="D464" s="46">
        <f t="shared" ca="1" si="55"/>
        <v>860</v>
      </c>
      <c r="E464" s="74">
        <f t="shared" ca="1" si="56"/>
        <v>1</v>
      </c>
      <c r="F464">
        <f t="shared" ca="1" si="57"/>
        <v>1</v>
      </c>
      <c r="G464" s="76">
        <f t="shared" ca="1" si="58"/>
        <v>0</v>
      </c>
      <c r="H464" s="76">
        <f ca="1">SUM($G$4:G464)</f>
        <v>-25.155084302325577</v>
      </c>
      <c r="I464" s="76">
        <f t="shared" ca="1" si="59"/>
        <v>0</v>
      </c>
      <c r="J464" s="76">
        <f t="shared" ca="1" si="60"/>
        <v>0</v>
      </c>
    </row>
    <row r="465" spans="2:10" x14ac:dyDescent="0.2">
      <c r="B465" s="66"/>
      <c r="C465" s="46">
        <f t="shared" ca="1" si="54"/>
        <v>0</v>
      </c>
      <c r="D465" s="46">
        <f t="shared" ca="1" si="55"/>
        <v>860</v>
      </c>
      <c r="E465" s="74">
        <f t="shared" ca="1" si="56"/>
        <v>1</v>
      </c>
      <c r="F465">
        <f t="shared" ca="1" si="57"/>
        <v>1</v>
      </c>
      <c r="G465" s="76">
        <f t="shared" ca="1" si="58"/>
        <v>0</v>
      </c>
      <c r="H465" s="76">
        <f ca="1">SUM($G$4:G465)</f>
        <v>-25.155084302325577</v>
      </c>
      <c r="I465" s="76">
        <f t="shared" ca="1" si="59"/>
        <v>0</v>
      </c>
      <c r="J465" s="76">
        <f t="shared" ca="1" si="60"/>
        <v>0</v>
      </c>
    </row>
    <row r="466" spans="2:10" x14ac:dyDescent="0.2">
      <c r="B466" s="66"/>
      <c r="C466" s="46">
        <f t="shared" ca="1" si="54"/>
        <v>0</v>
      </c>
      <c r="D466" s="46">
        <f t="shared" ca="1" si="55"/>
        <v>860</v>
      </c>
      <c r="E466" s="74">
        <f t="shared" ca="1" si="56"/>
        <v>1</v>
      </c>
      <c r="F466">
        <f t="shared" ca="1" si="57"/>
        <v>1</v>
      </c>
      <c r="G466" s="76">
        <f t="shared" ca="1" si="58"/>
        <v>0</v>
      </c>
      <c r="H466" s="76">
        <f ca="1">SUM($G$4:G466)</f>
        <v>-25.155084302325577</v>
      </c>
      <c r="I466" s="76">
        <f t="shared" ca="1" si="59"/>
        <v>0</v>
      </c>
      <c r="J466" s="76">
        <f t="shared" ca="1" si="60"/>
        <v>0</v>
      </c>
    </row>
    <row r="467" spans="2:10" x14ac:dyDescent="0.2">
      <c r="B467" s="66"/>
      <c r="C467" s="46">
        <f t="shared" ca="1" si="54"/>
        <v>0</v>
      </c>
      <c r="D467" s="46">
        <f t="shared" ca="1" si="55"/>
        <v>860</v>
      </c>
      <c r="E467" s="74">
        <f t="shared" ca="1" si="56"/>
        <v>1</v>
      </c>
      <c r="F467">
        <f t="shared" ca="1" si="57"/>
        <v>1</v>
      </c>
      <c r="G467" s="76">
        <f t="shared" ca="1" si="58"/>
        <v>0</v>
      </c>
      <c r="H467" s="76">
        <f ca="1">SUM($G$4:G467)</f>
        <v>-25.155084302325577</v>
      </c>
      <c r="I467" s="76">
        <f t="shared" ca="1" si="59"/>
        <v>0</v>
      </c>
      <c r="J467" s="76">
        <f t="shared" ca="1" si="60"/>
        <v>0</v>
      </c>
    </row>
    <row r="468" spans="2:10" x14ac:dyDescent="0.2">
      <c r="B468" s="66"/>
      <c r="C468" s="46">
        <f t="shared" ca="1" si="54"/>
        <v>0</v>
      </c>
      <c r="D468" s="46">
        <f t="shared" ca="1" si="55"/>
        <v>860</v>
      </c>
      <c r="E468" s="74">
        <f t="shared" ca="1" si="56"/>
        <v>1</v>
      </c>
      <c r="F468">
        <f t="shared" ca="1" si="57"/>
        <v>1</v>
      </c>
      <c r="G468" s="76">
        <f t="shared" ca="1" si="58"/>
        <v>0</v>
      </c>
      <c r="H468" s="76">
        <f ca="1">SUM($G$4:G468)</f>
        <v>-25.155084302325577</v>
      </c>
      <c r="I468" s="76">
        <f t="shared" ca="1" si="59"/>
        <v>0</v>
      </c>
      <c r="J468" s="76">
        <f t="shared" ca="1" si="60"/>
        <v>0</v>
      </c>
    </row>
    <row r="469" spans="2:10" x14ac:dyDescent="0.2">
      <c r="B469" s="66"/>
      <c r="C469" s="46">
        <f t="shared" ca="1" si="54"/>
        <v>0</v>
      </c>
      <c r="D469" s="46">
        <f t="shared" ca="1" si="55"/>
        <v>860</v>
      </c>
      <c r="E469" s="74">
        <f t="shared" ca="1" si="56"/>
        <v>1</v>
      </c>
      <c r="F469">
        <f t="shared" ca="1" si="57"/>
        <v>1</v>
      </c>
      <c r="G469" s="76">
        <f t="shared" ca="1" si="58"/>
        <v>0</v>
      </c>
      <c r="H469" s="76">
        <f ca="1">SUM($G$4:G469)</f>
        <v>-25.155084302325577</v>
      </c>
      <c r="I469" s="76">
        <f t="shared" ca="1" si="59"/>
        <v>0</v>
      </c>
      <c r="J469" s="76">
        <f t="shared" ca="1" si="60"/>
        <v>0</v>
      </c>
    </row>
    <row r="470" spans="2:10" x14ac:dyDescent="0.2">
      <c r="B470" s="66"/>
      <c r="C470" s="46">
        <f t="shared" ca="1" si="54"/>
        <v>0</v>
      </c>
      <c r="D470" s="46">
        <f t="shared" ca="1" si="55"/>
        <v>860</v>
      </c>
      <c r="E470" s="74">
        <f t="shared" ca="1" si="56"/>
        <v>1</v>
      </c>
      <c r="F470">
        <f t="shared" ca="1" si="57"/>
        <v>1</v>
      </c>
      <c r="G470" s="76">
        <f t="shared" ca="1" si="58"/>
        <v>0</v>
      </c>
      <c r="H470" s="76">
        <f ca="1">SUM($G$4:G470)</f>
        <v>-25.155084302325577</v>
      </c>
      <c r="I470" s="76">
        <f t="shared" ca="1" si="59"/>
        <v>0</v>
      </c>
      <c r="J470" s="76">
        <f t="shared" ca="1" si="60"/>
        <v>0</v>
      </c>
    </row>
    <row r="471" spans="2:10" x14ac:dyDescent="0.2">
      <c r="B471" s="66"/>
      <c r="C471" s="46">
        <f t="shared" ca="1" si="54"/>
        <v>0</v>
      </c>
      <c r="D471" s="46">
        <f t="shared" ca="1" si="55"/>
        <v>860</v>
      </c>
      <c r="E471" s="74">
        <f t="shared" ca="1" si="56"/>
        <v>1</v>
      </c>
      <c r="F471">
        <f t="shared" ca="1" si="57"/>
        <v>1</v>
      </c>
      <c r="G471" s="76">
        <f t="shared" ca="1" si="58"/>
        <v>0</v>
      </c>
      <c r="H471" s="76">
        <f ca="1">SUM($G$4:G471)</f>
        <v>-25.155084302325577</v>
      </c>
      <c r="I471" s="76">
        <f t="shared" ca="1" si="59"/>
        <v>0</v>
      </c>
      <c r="J471" s="76">
        <f t="shared" ca="1" si="60"/>
        <v>0</v>
      </c>
    </row>
    <row r="472" spans="2:10" x14ac:dyDescent="0.2">
      <c r="B472" s="66"/>
      <c r="C472" s="46">
        <f t="shared" ca="1" si="54"/>
        <v>0</v>
      </c>
      <c r="D472" s="46">
        <f t="shared" ca="1" si="55"/>
        <v>860</v>
      </c>
      <c r="E472" s="74">
        <f t="shared" ca="1" si="56"/>
        <v>1</v>
      </c>
      <c r="F472">
        <f t="shared" ca="1" si="57"/>
        <v>1</v>
      </c>
      <c r="G472" s="76">
        <f t="shared" ca="1" si="58"/>
        <v>0</v>
      </c>
      <c r="H472" s="76">
        <f ca="1">SUM($G$4:G472)</f>
        <v>-25.155084302325577</v>
      </c>
      <c r="I472" s="76">
        <f t="shared" ca="1" si="59"/>
        <v>0</v>
      </c>
      <c r="J472" s="76">
        <f t="shared" ca="1" si="60"/>
        <v>0</v>
      </c>
    </row>
    <row r="473" spans="2:10" x14ac:dyDescent="0.2">
      <c r="B473" s="66"/>
      <c r="C473" s="46">
        <f t="shared" ca="1" si="54"/>
        <v>0</v>
      </c>
      <c r="D473" s="46">
        <f t="shared" ca="1" si="55"/>
        <v>860</v>
      </c>
      <c r="E473" s="74">
        <f t="shared" ca="1" si="56"/>
        <v>1</v>
      </c>
      <c r="F473">
        <f t="shared" ca="1" si="57"/>
        <v>1</v>
      </c>
      <c r="G473" s="76">
        <f t="shared" ca="1" si="58"/>
        <v>0</v>
      </c>
      <c r="H473" s="76">
        <f ca="1">SUM($G$4:G473)</f>
        <v>-25.155084302325577</v>
      </c>
      <c r="I473" s="76">
        <f t="shared" ca="1" si="59"/>
        <v>0</v>
      </c>
      <c r="J473" s="76">
        <f t="shared" ca="1" si="60"/>
        <v>0</v>
      </c>
    </row>
    <row r="474" spans="2:10" x14ac:dyDescent="0.2">
      <c r="B474" s="66"/>
      <c r="C474" s="46">
        <f t="shared" ca="1" si="54"/>
        <v>0</v>
      </c>
      <c r="D474" s="46">
        <f t="shared" ca="1" si="55"/>
        <v>860</v>
      </c>
      <c r="E474" s="74">
        <f t="shared" ca="1" si="56"/>
        <v>1</v>
      </c>
      <c r="F474">
        <f t="shared" ca="1" si="57"/>
        <v>1</v>
      </c>
      <c r="G474" s="76">
        <f t="shared" ca="1" si="58"/>
        <v>0</v>
      </c>
      <c r="H474" s="76">
        <f ca="1">SUM($G$4:G474)</f>
        <v>-25.155084302325577</v>
      </c>
      <c r="I474" s="76">
        <f t="shared" ca="1" si="59"/>
        <v>0</v>
      </c>
      <c r="J474" s="76">
        <f t="shared" ca="1" si="60"/>
        <v>0</v>
      </c>
    </row>
    <row r="475" spans="2:10" x14ac:dyDescent="0.2">
      <c r="B475" s="66"/>
      <c r="C475" s="46">
        <f t="shared" ca="1" si="54"/>
        <v>0</v>
      </c>
      <c r="D475" s="46">
        <f t="shared" ca="1" si="55"/>
        <v>860</v>
      </c>
      <c r="E475" s="74">
        <f t="shared" ca="1" si="56"/>
        <v>1</v>
      </c>
      <c r="F475">
        <f t="shared" ca="1" si="57"/>
        <v>1</v>
      </c>
      <c r="G475" s="76">
        <f t="shared" ca="1" si="58"/>
        <v>0</v>
      </c>
      <c r="H475" s="76">
        <f ca="1">SUM($G$4:G475)</f>
        <v>-25.155084302325577</v>
      </c>
      <c r="I475" s="76">
        <f t="shared" ca="1" si="59"/>
        <v>0</v>
      </c>
      <c r="J475" s="76">
        <f t="shared" ca="1" si="60"/>
        <v>0</v>
      </c>
    </row>
    <row r="476" spans="2:10" x14ac:dyDescent="0.2">
      <c r="B476" s="66"/>
      <c r="C476" s="46">
        <f t="shared" ca="1" si="54"/>
        <v>0</v>
      </c>
      <c r="D476" s="46">
        <f t="shared" ca="1" si="55"/>
        <v>860</v>
      </c>
      <c r="E476" s="74">
        <f t="shared" ca="1" si="56"/>
        <v>1</v>
      </c>
      <c r="F476">
        <f t="shared" ca="1" si="57"/>
        <v>1</v>
      </c>
      <c r="G476" s="76">
        <f t="shared" ca="1" si="58"/>
        <v>0</v>
      </c>
      <c r="H476" s="76">
        <f ca="1">SUM($G$4:G476)</f>
        <v>-25.155084302325577</v>
      </c>
      <c r="I476" s="76">
        <f t="shared" ca="1" si="59"/>
        <v>0</v>
      </c>
      <c r="J476" s="76">
        <f t="shared" ca="1" si="60"/>
        <v>0</v>
      </c>
    </row>
    <row r="477" spans="2:10" x14ac:dyDescent="0.2">
      <c r="B477" s="66"/>
      <c r="C477" s="46">
        <f t="shared" ca="1" si="54"/>
        <v>0</v>
      </c>
      <c r="D477" s="46">
        <f t="shared" ca="1" si="55"/>
        <v>860</v>
      </c>
      <c r="E477" s="74">
        <f t="shared" ca="1" si="56"/>
        <v>1</v>
      </c>
      <c r="F477">
        <f t="shared" ca="1" si="57"/>
        <v>1</v>
      </c>
      <c r="G477" s="76">
        <f t="shared" ca="1" si="58"/>
        <v>0</v>
      </c>
      <c r="H477" s="76">
        <f ca="1">SUM($G$4:G477)</f>
        <v>-25.155084302325577</v>
      </c>
      <c r="I477" s="76">
        <f t="shared" ca="1" si="59"/>
        <v>0</v>
      </c>
      <c r="J477" s="76">
        <f t="shared" ca="1" si="60"/>
        <v>0</v>
      </c>
    </row>
    <row r="478" spans="2:10" x14ac:dyDescent="0.2">
      <c r="B478" s="66"/>
      <c r="C478" s="46">
        <f t="shared" ca="1" si="54"/>
        <v>0</v>
      </c>
      <c r="D478" s="46">
        <f t="shared" ca="1" si="55"/>
        <v>860</v>
      </c>
      <c r="E478" s="74">
        <f t="shared" ca="1" si="56"/>
        <v>1</v>
      </c>
      <c r="F478">
        <f t="shared" ca="1" si="57"/>
        <v>1</v>
      </c>
      <c r="G478" s="76">
        <f t="shared" ca="1" si="58"/>
        <v>0</v>
      </c>
      <c r="H478" s="76">
        <f ca="1">SUM($G$4:G478)</f>
        <v>-25.155084302325577</v>
      </c>
      <c r="I478" s="76">
        <f t="shared" ca="1" si="59"/>
        <v>0</v>
      </c>
      <c r="J478" s="76">
        <f t="shared" ca="1" si="60"/>
        <v>0</v>
      </c>
    </row>
    <row r="479" spans="2:10" x14ac:dyDescent="0.2">
      <c r="B479" s="66"/>
      <c r="C479" s="46">
        <f t="shared" ca="1" si="54"/>
        <v>0</v>
      </c>
      <c r="D479" s="46">
        <f t="shared" ca="1" si="55"/>
        <v>860</v>
      </c>
      <c r="E479" s="74">
        <f t="shared" ca="1" si="56"/>
        <v>1</v>
      </c>
      <c r="F479">
        <f t="shared" ca="1" si="57"/>
        <v>1</v>
      </c>
      <c r="G479" s="76">
        <f t="shared" ca="1" si="58"/>
        <v>0</v>
      </c>
      <c r="H479" s="76">
        <f ca="1">SUM($G$4:G479)</f>
        <v>-25.155084302325577</v>
      </c>
      <c r="I479" s="76">
        <f t="shared" ca="1" si="59"/>
        <v>0</v>
      </c>
      <c r="J479" s="76">
        <f t="shared" ca="1" si="60"/>
        <v>0</v>
      </c>
    </row>
    <row r="480" spans="2:10" x14ac:dyDescent="0.2">
      <c r="B480" s="66"/>
      <c r="C480" s="46">
        <f t="shared" ca="1" si="54"/>
        <v>0</v>
      </c>
      <c r="D480" s="46">
        <f t="shared" ca="1" si="55"/>
        <v>860</v>
      </c>
      <c r="E480" s="74">
        <f t="shared" ca="1" si="56"/>
        <v>1</v>
      </c>
      <c r="F480">
        <f t="shared" ca="1" si="57"/>
        <v>1</v>
      </c>
      <c r="G480" s="76">
        <f t="shared" ca="1" si="58"/>
        <v>0</v>
      </c>
      <c r="H480" s="76">
        <f ca="1">SUM($G$4:G480)</f>
        <v>-25.155084302325577</v>
      </c>
      <c r="I480" s="76">
        <f t="shared" ca="1" si="59"/>
        <v>0</v>
      </c>
      <c r="J480" s="76">
        <f t="shared" ca="1" si="60"/>
        <v>0</v>
      </c>
    </row>
    <row r="481" spans="2:10" x14ac:dyDescent="0.2">
      <c r="B481" s="66"/>
      <c r="C481" s="46">
        <f t="shared" ca="1" si="54"/>
        <v>0</v>
      </c>
      <c r="D481" s="46">
        <f t="shared" ca="1" si="55"/>
        <v>860</v>
      </c>
      <c r="E481" s="74">
        <f t="shared" ca="1" si="56"/>
        <v>1</v>
      </c>
      <c r="F481">
        <f t="shared" ca="1" si="57"/>
        <v>1</v>
      </c>
      <c r="G481" s="76">
        <f t="shared" ca="1" si="58"/>
        <v>0</v>
      </c>
      <c r="H481" s="76">
        <f ca="1">SUM($G$4:G481)</f>
        <v>-25.155084302325577</v>
      </c>
      <c r="I481" s="76">
        <f t="shared" ca="1" si="59"/>
        <v>0</v>
      </c>
      <c r="J481" s="76">
        <f t="shared" ca="1" si="60"/>
        <v>0</v>
      </c>
    </row>
    <row r="482" spans="2:10" x14ac:dyDescent="0.2">
      <c r="B482" s="66"/>
      <c r="C482" s="46">
        <f t="shared" ca="1" si="54"/>
        <v>0</v>
      </c>
      <c r="D482" s="46">
        <f t="shared" ca="1" si="55"/>
        <v>860</v>
      </c>
      <c r="E482" s="74">
        <f t="shared" ca="1" si="56"/>
        <v>1</v>
      </c>
      <c r="F482">
        <f t="shared" ca="1" si="57"/>
        <v>1</v>
      </c>
      <c r="G482" s="76">
        <f t="shared" ca="1" si="58"/>
        <v>0</v>
      </c>
      <c r="H482" s="76">
        <f ca="1">SUM($G$4:G482)</f>
        <v>-25.155084302325577</v>
      </c>
      <c r="I482" s="76">
        <f t="shared" ca="1" si="59"/>
        <v>0</v>
      </c>
      <c r="J482" s="76">
        <f t="shared" ca="1" si="60"/>
        <v>0</v>
      </c>
    </row>
    <row r="483" spans="2:10" x14ac:dyDescent="0.2">
      <c r="B483" s="66"/>
      <c r="C483" s="46">
        <f t="shared" ca="1" si="54"/>
        <v>0</v>
      </c>
      <c r="D483" s="46">
        <f t="shared" ca="1" si="55"/>
        <v>860</v>
      </c>
      <c r="E483" s="74">
        <f t="shared" ca="1" si="56"/>
        <v>1</v>
      </c>
      <c r="F483">
        <f t="shared" ca="1" si="57"/>
        <v>1</v>
      </c>
      <c r="G483" s="76">
        <f t="shared" ca="1" si="58"/>
        <v>0</v>
      </c>
      <c r="H483" s="76">
        <f ca="1">SUM($G$4:G483)</f>
        <v>-25.155084302325577</v>
      </c>
      <c r="I483" s="76">
        <f t="shared" ca="1" si="59"/>
        <v>0</v>
      </c>
      <c r="J483" s="76">
        <f t="shared" ca="1" si="60"/>
        <v>0</v>
      </c>
    </row>
    <row r="484" spans="2:10" x14ac:dyDescent="0.2">
      <c r="B484" s="66"/>
      <c r="C484" s="46">
        <f t="shared" ca="1" si="54"/>
        <v>0</v>
      </c>
      <c r="D484" s="46">
        <f t="shared" ca="1" si="55"/>
        <v>860</v>
      </c>
      <c r="E484" s="74">
        <f t="shared" ca="1" si="56"/>
        <v>1</v>
      </c>
      <c r="F484">
        <f t="shared" ca="1" si="57"/>
        <v>1</v>
      </c>
      <c r="G484" s="76">
        <f t="shared" ca="1" si="58"/>
        <v>0</v>
      </c>
      <c r="H484" s="76">
        <f ca="1">SUM($G$4:G484)</f>
        <v>-25.155084302325577</v>
      </c>
      <c r="I484" s="76">
        <f t="shared" ca="1" si="59"/>
        <v>0</v>
      </c>
      <c r="J484" s="76">
        <f t="shared" ca="1" si="60"/>
        <v>0</v>
      </c>
    </row>
    <row r="485" spans="2:10" x14ac:dyDescent="0.2">
      <c r="B485" s="66"/>
      <c r="C485" s="46">
        <f t="shared" ca="1" si="54"/>
        <v>0</v>
      </c>
      <c r="D485" s="46">
        <f t="shared" ca="1" si="55"/>
        <v>860</v>
      </c>
      <c r="E485" s="74">
        <f t="shared" ca="1" si="56"/>
        <v>1</v>
      </c>
      <c r="F485">
        <f t="shared" ca="1" si="57"/>
        <v>1</v>
      </c>
      <c r="G485" s="76">
        <f t="shared" ca="1" si="58"/>
        <v>0</v>
      </c>
      <c r="H485" s="76">
        <f ca="1">SUM($G$4:G485)</f>
        <v>-25.155084302325577</v>
      </c>
      <c r="I485" s="76">
        <f t="shared" ca="1" si="59"/>
        <v>0</v>
      </c>
      <c r="J485" s="76">
        <f t="shared" ca="1" si="60"/>
        <v>0</v>
      </c>
    </row>
    <row r="486" spans="2:10" x14ac:dyDescent="0.2">
      <c r="B486" s="66"/>
      <c r="C486" s="46">
        <f t="shared" ca="1" si="54"/>
        <v>0</v>
      </c>
      <c r="D486" s="46">
        <f t="shared" ca="1" si="55"/>
        <v>860</v>
      </c>
      <c r="E486" s="74">
        <f t="shared" ca="1" si="56"/>
        <v>1</v>
      </c>
      <c r="F486">
        <f t="shared" ca="1" si="57"/>
        <v>1</v>
      </c>
      <c r="G486" s="76">
        <f t="shared" ca="1" si="58"/>
        <v>0</v>
      </c>
      <c r="H486" s="76">
        <f ca="1">SUM($G$4:G486)</f>
        <v>-25.155084302325577</v>
      </c>
      <c r="I486" s="76">
        <f t="shared" ca="1" si="59"/>
        <v>0</v>
      </c>
      <c r="J486" s="76">
        <f t="shared" ca="1" si="60"/>
        <v>0</v>
      </c>
    </row>
    <row r="487" spans="2:10" x14ac:dyDescent="0.2">
      <c r="B487" s="66"/>
      <c r="C487" s="46">
        <f t="shared" ca="1" si="54"/>
        <v>0</v>
      </c>
      <c r="D487" s="46">
        <f t="shared" ca="1" si="55"/>
        <v>860</v>
      </c>
      <c r="E487" s="74">
        <f t="shared" ca="1" si="56"/>
        <v>1</v>
      </c>
      <c r="F487">
        <f t="shared" ca="1" si="57"/>
        <v>1</v>
      </c>
      <c r="G487" s="76">
        <f t="shared" ca="1" si="58"/>
        <v>0</v>
      </c>
      <c r="H487" s="76">
        <f ca="1">SUM($G$4:G487)</f>
        <v>-25.155084302325577</v>
      </c>
      <c r="I487" s="76">
        <f t="shared" ca="1" si="59"/>
        <v>0</v>
      </c>
      <c r="J487" s="76">
        <f t="shared" ca="1" si="60"/>
        <v>0</v>
      </c>
    </row>
    <row r="488" spans="2:10" x14ac:dyDescent="0.2">
      <c r="B488" s="66"/>
      <c r="C488" s="46">
        <f t="shared" ca="1" si="54"/>
        <v>0</v>
      </c>
      <c r="D488" s="46">
        <f t="shared" ca="1" si="55"/>
        <v>860</v>
      </c>
      <c r="E488" s="74">
        <f t="shared" ca="1" si="56"/>
        <v>1</v>
      </c>
      <c r="F488">
        <f t="shared" ca="1" si="57"/>
        <v>1</v>
      </c>
      <c r="G488" s="76">
        <f t="shared" ca="1" si="58"/>
        <v>0</v>
      </c>
      <c r="H488" s="76">
        <f ca="1">SUM($G$4:G488)</f>
        <v>-25.155084302325577</v>
      </c>
      <c r="I488" s="76">
        <f t="shared" ca="1" si="59"/>
        <v>0</v>
      </c>
      <c r="J488" s="76">
        <f t="shared" ca="1" si="60"/>
        <v>0</v>
      </c>
    </row>
    <row r="489" spans="2:10" x14ac:dyDescent="0.2">
      <c r="B489" s="66"/>
      <c r="C489" s="46">
        <f t="shared" ca="1" si="54"/>
        <v>0</v>
      </c>
      <c r="D489" s="46">
        <f t="shared" ca="1" si="55"/>
        <v>860</v>
      </c>
      <c r="E489" s="74">
        <f t="shared" ca="1" si="56"/>
        <v>1</v>
      </c>
      <c r="F489">
        <f t="shared" ca="1" si="57"/>
        <v>1</v>
      </c>
      <c r="G489" s="76">
        <f t="shared" ca="1" si="58"/>
        <v>0</v>
      </c>
      <c r="H489" s="76">
        <f ca="1">SUM($G$4:G489)</f>
        <v>-25.155084302325577</v>
      </c>
      <c r="I489" s="76">
        <f t="shared" ca="1" si="59"/>
        <v>0</v>
      </c>
      <c r="J489" s="76">
        <f t="shared" ca="1" si="60"/>
        <v>0</v>
      </c>
    </row>
    <row r="490" spans="2:10" x14ac:dyDescent="0.2">
      <c r="B490" s="66"/>
      <c r="C490" s="46">
        <f t="shared" ca="1" si="54"/>
        <v>0</v>
      </c>
      <c r="D490" s="46">
        <f t="shared" ca="1" si="55"/>
        <v>860</v>
      </c>
      <c r="E490" s="74">
        <f t="shared" ca="1" si="56"/>
        <v>1</v>
      </c>
      <c r="F490">
        <f t="shared" ca="1" si="57"/>
        <v>1</v>
      </c>
      <c r="G490" s="76">
        <f t="shared" ca="1" si="58"/>
        <v>0</v>
      </c>
      <c r="H490" s="76">
        <f ca="1">SUM($G$4:G490)</f>
        <v>-25.155084302325577</v>
      </c>
      <c r="I490" s="76">
        <f t="shared" ca="1" si="59"/>
        <v>0</v>
      </c>
      <c r="J490" s="76">
        <f t="shared" ca="1" si="60"/>
        <v>0</v>
      </c>
    </row>
    <row r="491" spans="2:10" x14ac:dyDescent="0.2">
      <c r="B491" s="66"/>
      <c r="C491" s="46">
        <f t="shared" ca="1" si="54"/>
        <v>0</v>
      </c>
      <c r="D491" s="46">
        <f t="shared" ca="1" si="55"/>
        <v>860</v>
      </c>
      <c r="E491" s="74">
        <f t="shared" ca="1" si="56"/>
        <v>1</v>
      </c>
      <c r="F491">
        <f t="shared" ca="1" si="57"/>
        <v>1</v>
      </c>
      <c r="G491" s="76">
        <f t="shared" ca="1" si="58"/>
        <v>0</v>
      </c>
      <c r="H491" s="76">
        <f ca="1">SUM($G$4:G491)</f>
        <v>-25.155084302325577</v>
      </c>
      <c r="I491" s="76">
        <f t="shared" ca="1" si="59"/>
        <v>0</v>
      </c>
      <c r="J491" s="76">
        <f t="shared" ca="1" si="60"/>
        <v>0</v>
      </c>
    </row>
    <row r="492" spans="2:10" x14ac:dyDescent="0.2">
      <c r="B492" s="66"/>
      <c r="C492" s="46">
        <f t="shared" ca="1" si="54"/>
        <v>0</v>
      </c>
      <c r="D492" s="46">
        <f t="shared" ca="1" si="55"/>
        <v>860</v>
      </c>
      <c r="E492" s="74">
        <f t="shared" ca="1" si="56"/>
        <v>1</v>
      </c>
      <c r="F492">
        <f t="shared" ca="1" si="57"/>
        <v>1</v>
      </c>
      <c r="G492" s="76">
        <f t="shared" ca="1" si="58"/>
        <v>0</v>
      </c>
      <c r="H492" s="76">
        <f ca="1">SUM($G$4:G492)</f>
        <v>-25.155084302325577</v>
      </c>
      <c r="I492" s="76">
        <f t="shared" ca="1" si="59"/>
        <v>0</v>
      </c>
      <c r="J492" s="76">
        <f t="shared" ca="1" si="60"/>
        <v>0</v>
      </c>
    </row>
    <row r="493" spans="2:10" x14ac:dyDescent="0.2">
      <c r="B493" s="66"/>
      <c r="C493" s="46">
        <f t="shared" ca="1" si="54"/>
        <v>0</v>
      </c>
      <c r="D493" s="46">
        <f t="shared" ca="1" si="55"/>
        <v>860</v>
      </c>
      <c r="E493" s="74">
        <f t="shared" ca="1" si="56"/>
        <v>1</v>
      </c>
      <c r="F493">
        <f t="shared" ca="1" si="57"/>
        <v>1</v>
      </c>
      <c r="G493" s="76">
        <f t="shared" ca="1" si="58"/>
        <v>0</v>
      </c>
      <c r="H493" s="76">
        <f ca="1">SUM($G$4:G493)</f>
        <v>-25.155084302325577</v>
      </c>
      <c r="I493" s="76">
        <f t="shared" ca="1" si="59"/>
        <v>0</v>
      </c>
      <c r="J493" s="76">
        <f t="shared" ca="1" si="60"/>
        <v>0</v>
      </c>
    </row>
    <row r="494" spans="2:10" x14ac:dyDescent="0.2">
      <c r="B494" s="66"/>
      <c r="C494" s="46">
        <f t="shared" ca="1" si="54"/>
        <v>0</v>
      </c>
      <c r="D494" s="46">
        <f t="shared" ca="1" si="55"/>
        <v>860</v>
      </c>
      <c r="E494" s="74">
        <f t="shared" ca="1" si="56"/>
        <v>1</v>
      </c>
      <c r="F494">
        <f t="shared" ca="1" si="57"/>
        <v>1</v>
      </c>
      <c r="G494" s="76">
        <f t="shared" ca="1" si="58"/>
        <v>0</v>
      </c>
      <c r="H494" s="76">
        <f ca="1">SUM($G$4:G494)</f>
        <v>-25.155084302325577</v>
      </c>
      <c r="I494" s="76">
        <f t="shared" ca="1" si="59"/>
        <v>0</v>
      </c>
      <c r="J494" s="76">
        <f t="shared" ca="1" si="60"/>
        <v>0</v>
      </c>
    </row>
    <row r="495" spans="2:10" x14ac:dyDescent="0.2">
      <c r="B495" s="66"/>
      <c r="C495" s="46">
        <f t="shared" ca="1" si="54"/>
        <v>0</v>
      </c>
      <c r="D495" s="46">
        <f t="shared" ca="1" si="55"/>
        <v>860</v>
      </c>
      <c r="E495" s="74">
        <f t="shared" ca="1" si="56"/>
        <v>1</v>
      </c>
      <c r="F495">
        <f t="shared" ca="1" si="57"/>
        <v>1</v>
      </c>
      <c r="G495" s="76">
        <f t="shared" ca="1" si="58"/>
        <v>0</v>
      </c>
      <c r="H495" s="76">
        <f ca="1">SUM($G$4:G495)</f>
        <v>-25.155084302325577</v>
      </c>
      <c r="I495" s="76">
        <f t="shared" ca="1" si="59"/>
        <v>0</v>
      </c>
      <c r="J495" s="76">
        <f t="shared" ca="1" si="60"/>
        <v>0</v>
      </c>
    </row>
    <row r="496" spans="2:10" x14ac:dyDescent="0.2">
      <c r="B496" s="66"/>
      <c r="C496" s="46">
        <f t="shared" ca="1" si="54"/>
        <v>0</v>
      </c>
      <c r="D496" s="46">
        <f t="shared" ca="1" si="55"/>
        <v>860</v>
      </c>
      <c r="E496" s="74">
        <f t="shared" ca="1" si="56"/>
        <v>1</v>
      </c>
      <c r="F496">
        <f t="shared" ca="1" si="57"/>
        <v>1</v>
      </c>
      <c r="G496" s="76">
        <f t="shared" ca="1" si="58"/>
        <v>0</v>
      </c>
      <c r="H496" s="76">
        <f ca="1">SUM($G$4:G496)</f>
        <v>-25.155084302325577</v>
      </c>
      <c r="I496" s="76">
        <f t="shared" ca="1" si="59"/>
        <v>0</v>
      </c>
      <c r="J496" s="76">
        <f t="shared" ca="1" si="60"/>
        <v>0</v>
      </c>
    </row>
    <row r="497" spans="2:10" x14ac:dyDescent="0.2">
      <c r="B497" s="66"/>
      <c r="C497" s="46">
        <f t="shared" ca="1" si="54"/>
        <v>0</v>
      </c>
      <c r="D497" s="46">
        <f t="shared" ca="1" si="55"/>
        <v>860</v>
      </c>
      <c r="E497" s="74">
        <f t="shared" ca="1" si="56"/>
        <v>1</v>
      </c>
      <c r="F497">
        <f t="shared" ca="1" si="57"/>
        <v>1</v>
      </c>
      <c r="G497" s="76">
        <f t="shared" ca="1" si="58"/>
        <v>0</v>
      </c>
      <c r="H497" s="76">
        <f ca="1">SUM($G$4:G497)</f>
        <v>-25.155084302325577</v>
      </c>
      <c r="I497" s="76">
        <f t="shared" ca="1" si="59"/>
        <v>0</v>
      </c>
      <c r="J497" s="76">
        <f t="shared" ca="1" si="60"/>
        <v>0</v>
      </c>
    </row>
    <row r="498" spans="2:10" x14ac:dyDescent="0.2">
      <c r="B498" s="66"/>
      <c r="C498" s="46">
        <f t="shared" ca="1" si="54"/>
        <v>0</v>
      </c>
      <c r="D498" s="46">
        <f t="shared" ca="1" si="55"/>
        <v>860</v>
      </c>
      <c r="E498" s="74">
        <f t="shared" ca="1" si="56"/>
        <v>1</v>
      </c>
      <c r="F498">
        <f t="shared" ca="1" si="57"/>
        <v>1</v>
      </c>
      <c r="G498" s="76">
        <f t="shared" ca="1" si="58"/>
        <v>0</v>
      </c>
      <c r="H498" s="76">
        <f ca="1">SUM($G$4:G498)</f>
        <v>-25.155084302325577</v>
      </c>
      <c r="I498" s="76">
        <f t="shared" ca="1" si="59"/>
        <v>0</v>
      </c>
      <c r="J498" s="76">
        <f t="shared" ca="1" si="60"/>
        <v>0</v>
      </c>
    </row>
    <row r="499" spans="2:10" x14ac:dyDescent="0.2">
      <c r="B499" s="66"/>
      <c r="C499" s="46">
        <f t="shared" ca="1" si="54"/>
        <v>0</v>
      </c>
      <c r="D499" s="46">
        <f t="shared" ca="1" si="55"/>
        <v>860</v>
      </c>
      <c r="E499" s="74">
        <f t="shared" ca="1" si="56"/>
        <v>1</v>
      </c>
      <c r="F499">
        <f t="shared" ca="1" si="57"/>
        <v>1</v>
      </c>
      <c r="G499" s="76">
        <f t="shared" ca="1" si="58"/>
        <v>0</v>
      </c>
      <c r="H499" s="76">
        <f ca="1">SUM($G$4:G499)</f>
        <v>-25.155084302325577</v>
      </c>
      <c r="I499" s="76">
        <f t="shared" ca="1" si="59"/>
        <v>0</v>
      </c>
      <c r="J499" s="76">
        <f t="shared" ca="1" si="60"/>
        <v>0</v>
      </c>
    </row>
    <row r="500" spans="2:10" x14ac:dyDescent="0.2">
      <c r="B500" s="66"/>
      <c r="C500" s="46">
        <f t="shared" ca="1" si="54"/>
        <v>0</v>
      </c>
      <c r="D500" s="46">
        <f t="shared" ca="1" si="55"/>
        <v>860</v>
      </c>
      <c r="E500" s="74">
        <f t="shared" ca="1" si="56"/>
        <v>1</v>
      </c>
      <c r="F500">
        <f t="shared" ca="1" si="57"/>
        <v>1</v>
      </c>
      <c r="G500" s="76">
        <f t="shared" ca="1" si="58"/>
        <v>0</v>
      </c>
      <c r="H500" s="76">
        <f ca="1">SUM($G$4:G500)</f>
        <v>-25.155084302325577</v>
      </c>
      <c r="I500" s="76">
        <f t="shared" ca="1" si="59"/>
        <v>0</v>
      </c>
      <c r="J500" s="76">
        <f t="shared" ca="1" si="60"/>
        <v>0</v>
      </c>
    </row>
    <row r="501" spans="2:10" x14ac:dyDescent="0.2">
      <c r="B501" s="66"/>
      <c r="C501" s="46">
        <f t="shared" ca="1" si="54"/>
        <v>0</v>
      </c>
      <c r="D501" s="46">
        <f t="shared" ca="1" si="55"/>
        <v>860</v>
      </c>
      <c r="E501" s="74">
        <f t="shared" ca="1" si="56"/>
        <v>1</v>
      </c>
      <c r="F501">
        <f t="shared" ca="1" si="57"/>
        <v>1</v>
      </c>
      <c r="G501" s="76">
        <f t="shared" ca="1" si="58"/>
        <v>0</v>
      </c>
      <c r="H501" s="76">
        <f ca="1">SUM($G$4:G501)</f>
        <v>-25.155084302325577</v>
      </c>
      <c r="I501" s="76">
        <f t="shared" ca="1" si="59"/>
        <v>0</v>
      </c>
      <c r="J501" s="76">
        <f t="shared" ca="1" si="60"/>
        <v>0</v>
      </c>
    </row>
    <row r="502" spans="2:10" x14ac:dyDescent="0.2">
      <c r="B502" s="66"/>
      <c r="C502" s="46">
        <f t="shared" ca="1" si="54"/>
        <v>0</v>
      </c>
      <c r="D502" s="46">
        <f t="shared" ca="1" si="55"/>
        <v>860</v>
      </c>
      <c r="E502" s="74">
        <f t="shared" ca="1" si="56"/>
        <v>1</v>
      </c>
      <c r="F502">
        <f t="shared" ca="1" si="57"/>
        <v>1</v>
      </c>
      <c r="G502" s="76">
        <f t="shared" ca="1" si="58"/>
        <v>0</v>
      </c>
      <c r="H502" s="76">
        <f ca="1">SUM($G$4:G502)</f>
        <v>-25.155084302325577</v>
      </c>
      <c r="I502" s="76">
        <f t="shared" ca="1" si="59"/>
        <v>0</v>
      </c>
      <c r="J502" s="76">
        <f t="shared" ca="1" si="60"/>
        <v>0</v>
      </c>
    </row>
    <row r="503" spans="2:10" x14ac:dyDescent="0.2">
      <c r="B503" s="66"/>
      <c r="C503" s="46">
        <f t="shared" ca="1" si="54"/>
        <v>0</v>
      </c>
      <c r="D503" s="46">
        <f t="shared" ca="1" si="55"/>
        <v>860</v>
      </c>
      <c r="E503" s="74">
        <f t="shared" ca="1" si="56"/>
        <v>1</v>
      </c>
      <c r="F503">
        <f t="shared" ca="1" si="57"/>
        <v>1</v>
      </c>
      <c r="G503" s="76">
        <f t="shared" ca="1" si="58"/>
        <v>0</v>
      </c>
      <c r="H503" s="76">
        <f ca="1">SUM($G$4:G503)</f>
        <v>-25.155084302325577</v>
      </c>
      <c r="I503" s="76">
        <f t="shared" ca="1" si="59"/>
        <v>0</v>
      </c>
      <c r="J503" s="76">
        <f t="shared" ca="1" si="60"/>
        <v>0</v>
      </c>
    </row>
    <row r="504" spans="2:10" x14ac:dyDescent="0.2">
      <c r="B504" s="66"/>
      <c r="C504" s="46">
        <f t="shared" ca="1" si="54"/>
        <v>0</v>
      </c>
      <c r="D504" s="46">
        <f t="shared" ca="1" si="55"/>
        <v>860</v>
      </c>
      <c r="E504" s="74">
        <f t="shared" ca="1" si="56"/>
        <v>1</v>
      </c>
      <c r="F504">
        <f t="shared" ca="1" si="57"/>
        <v>1</v>
      </c>
      <c r="G504" s="76">
        <f t="shared" ca="1" si="58"/>
        <v>0</v>
      </c>
      <c r="H504" s="76">
        <f ca="1">SUM($G$4:G504)</f>
        <v>-25.155084302325577</v>
      </c>
      <c r="I504" s="76">
        <f t="shared" ca="1" si="59"/>
        <v>0</v>
      </c>
      <c r="J504" s="76">
        <f t="shared" ca="1" si="60"/>
        <v>0</v>
      </c>
    </row>
    <row r="505" spans="2:10" x14ac:dyDescent="0.2">
      <c r="B505" s="66"/>
      <c r="C505" s="46">
        <f t="shared" ca="1" si="54"/>
        <v>0</v>
      </c>
      <c r="D505" s="46">
        <f t="shared" ca="1" si="55"/>
        <v>860</v>
      </c>
      <c r="E505" s="74">
        <f t="shared" ca="1" si="56"/>
        <v>1</v>
      </c>
      <c r="F505">
        <f t="shared" ca="1" si="57"/>
        <v>1</v>
      </c>
      <c r="G505" s="76">
        <f t="shared" ca="1" si="58"/>
        <v>0</v>
      </c>
      <c r="H505" s="76">
        <f ca="1">SUM($G$4:G505)</f>
        <v>-25.155084302325577</v>
      </c>
      <c r="I505" s="76">
        <f t="shared" ca="1" si="59"/>
        <v>0</v>
      </c>
      <c r="J505" s="76">
        <f t="shared" ca="1" si="60"/>
        <v>0</v>
      </c>
    </row>
    <row r="506" spans="2:10" x14ac:dyDescent="0.2">
      <c r="B506" s="66"/>
      <c r="C506" s="46">
        <f t="shared" ca="1" si="54"/>
        <v>0</v>
      </c>
      <c r="D506" s="46">
        <f t="shared" ca="1" si="55"/>
        <v>860</v>
      </c>
      <c r="E506" s="74">
        <f t="shared" ca="1" si="56"/>
        <v>1</v>
      </c>
      <c r="F506">
        <f t="shared" ca="1" si="57"/>
        <v>1</v>
      </c>
      <c r="G506" s="76">
        <f t="shared" ca="1" si="58"/>
        <v>0</v>
      </c>
      <c r="H506" s="76">
        <f ca="1">SUM($G$4:G506)</f>
        <v>-25.155084302325577</v>
      </c>
      <c r="I506" s="76">
        <f t="shared" ca="1" si="59"/>
        <v>0</v>
      </c>
      <c r="J506" s="76">
        <f t="shared" ca="1" si="60"/>
        <v>0</v>
      </c>
    </row>
    <row r="507" spans="2:10" x14ac:dyDescent="0.2">
      <c r="B507" s="66"/>
      <c r="C507" s="46">
        <f t="shared" ca="1" si="54"/>
        <v>0</v>
      </c>
      <c r="D507" s="46">
        <f t="shared" ca="1" si="55"/>
        <v>860</v>
      </c>
      <c r="E507" s="74">
        <f t="shared" ca="1" si="56"/>
        <v>1</v>
      </c>
      <c r="F507">
        <f t="shared" ca="1" si="57"/>
        <v>1</v>
      </c>
      <c r="G507" s="76">
        <f t="shared" ca="1" si="58"/>
        <v>0</v>
      </c>
      <c r="H507" s="76">
        <f ca="1">SUM($G$4:G507)</f>
        <v>-25.155084302325577</v>
      </c>
      <c r="I507" s="76">
        <f t="shared" ca="1" si="59"/>
        <v>0</v>
      </c>
      <c r="J507" s="76">
        <f t="shared" ca="1" si="60"/>
        <v>0</v>
      </c>
    </row>
    <row r="508" spans="2:10" x14ac:dyDescent="0.2">
      <c r="B508" s="66"/>
      <c r="C508" s="46">
        <f t="shared" ca="1" si="54"/>
        <v>0</v>
      </c>
      <c r="D508" s="46">
        <f t="shared" ca="1" si="55"/>
        <v>860</v>
      </c>
      <c r="E508" s="74">
        <f t="shared" ca="1" si="56"/>
        <v>1</v>
      </c>
      <c r="F508">
        <f t="shared" ca="1" si="57"/>
        <v>1</v>
      </c>
      <c r="G508" s="76">
        <f t="shared" ca="1" si="58"/>
        <v>0</v>
      </c>
      <c r="H508" s="76">
        <f ca="1">SUM($G$4:G508)</f>
        <v>-25.155084302325577</v>
      </c>
      <c r="I508" s="76">
        <f t="shared" ca="1" si="59"/>
        <v>0</v>
      </c>
      <c r="J508" s="76">
        <f t="shared" ca="1" si="60"/>
        <v>0</v>
      </c>
    </row>
    <row r="509" spans="2:10" x14ac:dyDescent="0.2">
      <c r="B509" s="66"/>
      <c r="C509" s="46">
        <f t="shared" ca="1" si="54"/>
        <v>0</v>
      </c>
      <c r="D509" s="46">
        <f t="shared" ca="1" si="55"/>
        <v>860</v>
      </c>
      <c r="E509" s="74">
        <f t="shared" ca="1" si="56"/>
        <v>1</v>
      </c>
      <c r="F509">
        <f t="shared" ca="1" si="57"/>
        <v>1</v>
      </c>
      <c r="G509" s="76">
        <f t="shared" ca="1" si="58"/>
        <v>0</v>
      </c>
      <c r="H509" s="76">
        <f ca="1">SUM($G$4:G509)</f>
        <v>-25.155084302325577</v>
      </c>
      <c r="I509" s="76">
        <f t="shared" ca="1" si="59"/>
        <v>0</v>
      </c>
      <c r="J509" s="76">
        <f t="shared" ca="1" si="60"/>
        <v>0</v>
      </c>
    </row>
    <row r="510" spans="2:10" x14ac:dyDescent="0.2">
      <c r="B510" s="66"/>
      <c r="C510" s="46">
        <f t="shared" ca="1" si="54"/>
        <v>0</v>
      </c>
      <c r="D510" s="46">
        <f t="shared" ca="1" si="55"/>
        <v>860</v>
      </c>
      <c r="E510" s="74">
        <f t="shared" ca="1" si="56"/>
        <v>1</v>
      </c>
      <c r="F510">
        <f t="shared" ca="1" si="57"/>
        <v>1</v>
      </c>
      <c r="G510" s="76">
        <f t="shared" ca="1" si="58"/>
        <v>0</v>
      </c>
      <c r="H510" s="76">
        <f ca="1">SUM($G$4:G510)</f>
        <v>-25.155084302325577</v>
      </c>
      <c r="I510" s="76">
        <f t="shared" ca="1" si="59"/>
        <v>0</v>
      </c>
      <c r="J510" s="76">
        <f t="shared" ca="1" si="60"/>
        <v>0</v>
      </c>
    </row>
    <row r="511" spans="2:10" x14ac:dyDescent="0.2">
      <c r="B511" s="66"/>
      <c r="C511" s="46">
        <f t="shared" ca="1" si="54"/>
        <v>0</v>
      </c>
      <c r="D511" s="46">
        <f t="shared" ca="1" si="55"/>
        <v>860</v>
      </c>
      <c r="E511" s="74">
        <f t="shared" ca="1" si="56"/>
        <v>1</v>
      </c>
      <c r="F511">
        <f t="shared" ca="1" si="57"/>
        <v>1</v>
      </c>
      <c r="G511" s="76">
        <f t="shared" ca="1" si="58"/>
        <v>0</v>
      </c>
      <c r="H511" s="76">
        <f ca="1">SUM($G$4:G511)</f>
        <v>-25.155084302325577</v>
      </c>
      <c r="I511" s="76">
        <f t="shared" ca="1" si="59"/>
        <v>0</v>
      </c>
      <c r="J511" s="76">
        <f t="shared" ca="1" si="60"/>
        <v>0</v>
      </c>
    </row>
    <row r="512" spans="2:10" x14ac:dyDescent="0.2">
      <c r="B512" s="66"/>
      <c r="C512" s="46">
        <f t="shared" ca="1" si="54"/>
        <v>0</v>
      </c>
      <c r="D512" s="46">
        <f t="shared" ca="1" si="55"/>
        <v>860</v>
      </c>
      <c r="E512" s="74">
        <f t="shared" ca="1" si="56"/>
        <v>1</v>
      </c>
      <c r="F512">
        <f t="shared" ca="1" si="57"/>
        <v>1</v>
      </c>
      <c r="G512" s="76">
        <f t="shared" ca="1" si="58"/>
        <v>0</v>
      </c>
      <c r="H512" s="76">
        <f ca="1">SUM($G$4:G512)</f>
        <v>-25.155084302325577</v>
      </c>
      <c r="I512" s="76">
        <f t="shared" ca="1" si="59"/>
        <v>0</v>
      </c>
      <c r="J512" s="76">
        <f t="shared" ca="1" si="60"/>
        <v>0</v>
      </c>
    </row>
    <row r="513" spans="2:10" x14ac:dyDescent="0.2">
      <c r="B513" s="66"/>
      <c r="C513" s="46">
        <f t="shared" ca="1" si="54"/>
        <v>0</v>
      </c>
      <c r="D513" s="46">
        <f t="shared" ca="1" si="55"/>
        <v>860</v>
      </c>
      <c r="E513" s="74">
        <f t="shared" ca="1" si="56"/>
        <v>1</v>
      </c>
      <c r="F513">
        <f t="shared" ca="1" si="57"/>
        <v>1</v>
      </c>
      <c r="G513" s="76">
        <f t="shared" ca="1" si="58"/>
        <v>0</v>
      </c>
      <c r="H513" s="76">
        <f ca="1">SUM($G$4:G513)</f>
        <v>-25.155084302325577</v>
      </c>
      <c r="I513" s="76">
        <f t="shared" ca="1" si="59"/>
        <v>0</v>
      </c>
      <c r="J513" s="76">
        <f t="shared" ca="1" si="60"/>
        <v>0</v>
      </c>
    </row>
    <row r="514" spans="2:10" x14ac:dyDescent="0.2">
      <c r="B514" s="66"/>
      <c r="C514" s="46">
        <f t="shared" ca="1" si="54"/>
        <v>0</v>
      </c>
      <c r="D514" s="46">
        <f t="shared" ca="1" si="55"/>
        <v>860</v>
      </c>
      <c r="E514" s="74">
        <f t="shared" ca="1" si="56"/>
        <v>1</v>
      </c>
      <c r="F514">
        <f t="shared" ca="1" si="57"/>
        <v>1</v>
      </c>
      <c r="G514" s="76">
        <f t="shared" ca="1" si="58"/>
        <v>0</v>
      </c>
      <c r="H514" s="76">
        <f ca="1">SUM($G$4:G514)</f>
        <v>-25.155084302325577</v>
      </c>
      <c r="I514" s="76">
        <f t="shared" ca="1" si="59"/>
        <v>0</v>
      </c>
      <c r="J514" s="76">
        <f t="shared" ca="1" si="60"/>
        <v>0</v>
      </c>
    </row>
    <row r="515" spans="2:10" x14ac:dyDescent="0.2">
      <c r="B515" s="66"/>
      <c r="C515" s="46">
        <f t="shared" ca="1" si="54"/>
        <v>0</v>
      </c>
      <c r="D515" s="46">
        <f t="shared" ca="1" si="55"/>
        <v>860</v>
      </c>
      <c r="E515" s="74">
        <f t="shared" ca="1" si="56"/>
        <v>1</v>
      </c>
      <c r="F515">
        <f t="shared" ca="1" si="57"/>
        <v>1</v>
      </c>
      <c r="G515" s="76">
        <f t="shared" ca="1" si="58"/>
        <v>0</v>
      </c>
      <c r="H515" s="76">
        <f ca="1">SUM($G$4:G515)</f>
        <v>-25.155084302325577</v>
      </c>
      <c r="I515" s="76">
        <f t="shared" ca="1" si="59"/>
        <v>0</v>
      </c>
      <c r="J515" s="76">
        <f t="shared" ca="1" si="60"/>
        <v>0</v>
      </c>
    </row>
    <row r="516" spans="2:10" x14ac:dyDescent="0.2">
      <c r="B516" s="66"/>
      <c r="C516" s="46">
        <f t="shared" ref="C516:C579" ca="1" si="61">COUNTIF(RAW_DATA,B516)</f>
        <v>0</v>
      </c>
      <c r="D516" s="46">
        <f t="shared" ca="1" si="55"/>
        <v>860</v>
      </c>
      <c r="E516" s="74">
        <f t="shared" ca="1" si="56"/>
        <v>1</v>
      </c>
      <c r="F516">
        <f t="shared" ca="1" si="57"/>
        <v>1</v>
      </c>
      <c r="G516" s="76">
        <f t="shared" ca="1" si="58"/>
        <v>0</v>
      </c>
      <c r="H516" s="76">
        <f ca="1">SUM($G$4:G516)</f>
        <v>-25.155084302325577</v>
      </c>
      <c r="I516" s="76">
        <f t="shared" ca="1" si="59"/>
        <v>0</v>
      </c>
      <c r="J516" s="76">
        <f t="shared" ca="1" si="60"/>
        <v>0</v>
      </c>
    </row>
    <row r="517" spans="2:10" x14ac:dyDescent="0.2">
      <c r="B517" s="66"/>
      <c r="C517" s="46">
        <f t="shared" ca="1" si="61"/>
        <v>0</v>
      </c>
      <c r="D517" s="46">
        <f t="shared" ref="D517:D580" ca="1" si="62">COUNTIF(ALL_DATA,B517)+D516</f>
        <v>860</v>
      </c>
      <c r="E517" s="74">
        <f t="shared" ref="E517:E580" ca="1" si="63">1-C517/D517</f>
        <v>1</v>
      </c>
      <c r="F517">
        <f t="shared" ref="F517:F580" ca="1" si="64">PRODUCT(E518:E1368)</f>
        <v>1</v>
      </c>
      <c r="G517" s="76">
        <f t="shared" ref="G517:G580" ca="1" si="65">(B518-B517)*F517</f>
        <v>0</v>
      </c>
      <c r="H517" s="76">
        <f ca="1">SUM($G$4:G517)</f>
        <v>-25.155084302325577</v>
      </c>
      <c r="I517" s="76">
        <f t="shared" ca="1" si="59"/>
        <v>0</v>
      </c>
      <c r="J517" s="76">
        <f t="shared" ca="1" si="60"/>
        <v>0</v>
      </c>
    </row>
    <row r="518" spans="2:10" x14ac:dyDescent="0.2">
      <c r="B518" s="66"/>
      <c r="C518" s="46">
        <f t="shared" ca="1" si="61"/>
        <v>0</v>
      </c>
      <c r="D518" s="46">
        <f t="shared" ca="1" si="62"/>
        <v>860</v>
      </c>
      <c r="E518" s="74">
        <f t="shared" ca="1" si="63"/>
        <v>1</v>
      </c>
      <c r="F518">
        <f t="shared" ca="1" si="64"/>
        <v>1</v>
      </c>
      <c r="G518" s="76">
        <f t="shared" ca="1" si="65"/>
        <v>0</v>
      </c>
      <c r="H518" s="76">
        <f ca="1">SUM($G$4:G518)</f>
        <v>-25.155084302325577</v>
      </c>
      <c r="I518" s="76">
        <f t="shared" ref="I518:I581" ca="1" si="66">B518*(F518-F517)</f>
        <v>0</v>
      </c>
      <c r="J518" s="76">
        <f t="shared" ref="J518:J581" ca="1" si="67">POWER(B518-$M$3,2)*(F518-F517)</f>
        <v>0</v>
      </c>
    </row>
    <row r="519" spans="2:10" x14ac:dyDescent="0.2">
      <c r="B519" s="66"/>
      <c r="C519" s="46">
        <f t="shared" ca="1" si="61"/>
        <v>0</v>
      </c>
      <c r="D519" s="46">
        <f t="shared" ca="1" si="62"/>
        <v>860</v>
      </c>
      <c r="E519" s="74">
        <f t="shared" ca="1" si="63"/>
        <v>1</v>
      </c>
      <c r="F519">
        <f t="shared" ca="1" si="64"/>
        <v>1</v>
      </c>
      <c r="G519" s="76">
        <f t="shared" ca="1" si="65"/>
        <v>0</v>
      </c>
      <c r="H519" s="76">
        <f ca="1">SUM($G$4:G519)</f>
        <v>-25.155084302325577</v>
      </c>
      <c r="I519" s="76">
        <f t="shared" ca="1" si="66"/>
        <v>0</v>
      </c>
      <c r="J519" s="76">
        <f t="shared" ca="1" si="67"/>
        <v>0</v>
      </c>
    </row>
    <row r="520" spans="2:10" x14ac:dyDescent="0.2">
      <c r="B520" s="66"/>
      <c r="C520" s="46">
        <f t="shared" ca="1" si="61"/>
        <v>0</v>
      </c>
      <c r="D520" s="46">
        <f t="shared" ca="1" si="62"/>
        <v>860</v>
      </c>
      <c r="E520" s="74">
        <f t="shared" ca="1" si="63"/>
        <v>1</v>
      </c>
      <c r="F520">
        <f t="shared" ca="1" si="64"/>
        <v>1</v>
      </c>
      <c r="G520" s="76">
        <f t="shared" ca="1" si="65"/>
        <v>0</v>
      </c>
      <c r="H520" s="76">
        <f ca="1">SUM($G$4:G520)</f>
        <v>-25.155084302325577</v>
      </c>
      <c r="I520" s="76">
        <f t="shared" ca="1" si="66"/>
        <v>0</v>
      </c>
      <c r="J520" s="76">
        <f t="shared" ca="1" si="67"/>
        <v>0</v>
      </c>
    </row>
    <row r="521" spans="2:10" x14ac:dyDescent="0.2">
      <c r="B521" s="66"/>
      <c r="C521" s="46">
        <f t="shared" ca="1" si="61"/>
        <v>0</v>
      </c>
      <c r="D521" s="46">
        <f t="shared" ca="1" si="62"/>
        <v>860</v>
      </c>
      <c r="E521" s="74">
        <f t="shared" ca="1" si="63"/>
        <v>1</v>
      </c>
      <c r="F521">
        <f t="shared" ca="1" si="64"/>
        <v>1</v>
      </c>
      <c r="G521" s="76">
        <f t="shared" ca="1" si="65"/>
        <v>0</v>
      </c>
      <c r="H521" s="76">
        <f ca="1">SUM($G$4:G521)</f>
        <v>-25.155084302325577</v>
      </c>
      <c r="I521" s="76">
        <f t="shared" ca="1" si="66"/>
        <v>0</v>
      </c>
      <c r="J521" s="76">
        <f t="shared" ca="1" si="67"/>
        <v>0</v>
      </c>
    </row>
    <row r="522" spans="2:10" x14ac:dyDescent="0.2">
      <c r="B522" s="66"/>
      <c r="C522" s="46">
        <f t="shared" ca="1" si="61"/>
        <v>0</v>
      </c>
      <c r="D522" s="46">
        <f t="shared" ca="1" si="62"/>
        <v>860</v>
      </c>
      <c r="E522" s="74">
        <f t="shared" ca="1" si="63"/>
        <v>1</v>
      </c>
      <c r="F522">
        <f t="shared" ca="1" si="64"/>
        <v>1</v>
      </c>
      <c r="G522" s="76">
        <f t="shared" ca="1" si="65"/>
        <v>0</v>
      </c>
      <c r="H522" s="76">
        <f ca="1">SUM($G$4:G522)</f>
        <v>-25.155084302325577</v>
      </c>
      <c r="I522" s="76">
        <f t="shared" ca="1" si="66"/>
        <v>0</v>
      </c>
      <c r="J522" s="76">
        <f t="shared" ca="1" si="67"/>
        <v>0</v>
      </c>
    </row>
    <row r="523" spans="2:10" x14ac:dyDescent="0.2">
      <c r="B523" s="66"/>
      <c r="C523" s="46">
        <f t="shared" ca="1" si="61"/>
        <v>0</v>
      </c>
      <c r="D523" s="46">
        <f t="shared" ca="1" si="62"/>
        <v>860</v>
      </c>
      <c r="E523" s="74">
        <f t="shared" ca="1" si="63"/>
        <v>1</v>
      </c>
      <c r="F523">
        <f t="shared" ca="1" si="64"/>
        <v>1</v>
      </c>
      <c r="G523" s="76">
        <f t="shared" ca="1" si="65"/>
        <v>0</v>
      </c>
      <c r="H523" s="76">
        <f ca="1">SUM($G$4:G523)</f>
        <v>-25.155084302325577</v>
      </c>
      <c r="I523" s="76">
        <f t="shared" ca="1" si="66"/>
        <v>0</v>
      </c>
      <c r="J523" s="76">
        <f t="shared" ca="1" si="67"/>
        <v>0</v>
      </c>
    </row>
    <row r="524" spans="2:10" x14ac:dyDescent="0.2">
      <c r="B524" s="66"/>
      <c r="C524" s="46">
        <f t="shared" ca="1" si="61"/>
        <v>0</v>
      </c>
      <c r="D524" s="46">
        <f t="shared" ca="1" si="62"/>
        <v>860</v>
      </c>
      <c r="E524" s="74">
        <f t="shared" ca="1" si="63"/>
        <v>1</v>
      </c>
      <c r="F524">
        <f t="shared" ca="1" si="64"/>
        <v>1</v>
      </c>
      <c r="G524" s="76">
        <f t="shared" ca="1" si="65"/>
        <v>0</v>
      </c>
      <c r="H524" s="76">
        <f ca="1">SUM($G$4:G524)</f>
        <v>-25.155084302325577</v>
      </c>
      <c r="I524" s="76">
        <f t="shared" ca="1" si="66"/>
        <v>0</v>
      </c>
      <c r="J524" s="76">
        <f t="shared" ca="1" si="67"/>
        <v>0</v>
      </c>
    </row>
    <row r="525" spans="2:10" x14ac:dyDescent="0.2">
      <c r="B525" s="66"/>
      <c r="C525" s="46">
        <f t="shared" ca="1" si="61"/>
        <v>0</v>
      </c>
      <c r="D525" s="46">
        <f t="shared" ca="1" si="62"/>
        <v>860</v>
      </c>
      <c r="E525" s="74">
        <f t="shared" ca="1" si="63"/>
        <v>1</v>
      </c>
      <c r="F525">
        <f t="shared" ca="1" si="64"/>
        <v>1</v>
      </c>
      <c r="G525" s="76">
        <f t="shared" ca="1" si="65"/>
        <v>0</v>
      </c>
      <c r="H525" s="76">
        <f ca="1">SUM($G$4:G525)</f>
        <v>-25.155084302325577</v>
      </c>
      <c r="I525" s="76">
        <f t="shared" ca="1" si="66"/>
        <v>0</v>
      </c>
      <c r="J525" s="76">
        <f t="shared" ca="1" si="67"/>
        <v>0</v>
      </c>
    </row>
    <row r="526" spans="2:10" x14ac:dyDescent="0.2">
      <c r="B526" s="66"/>
      <c r="C526" s="46">
        <f t="shared" ca="1" si="61"/>
        <v>0</v>
      </c>
      <c r="D526" s="46">
        <f t="shared" ca="1" si="62"/>
        <v>860</v>
      </c>
      <c r="E526" s="74">
        <f t="shared" ca="1" si="63"/>
        <v>1</v>
      </c>
      <c r="F526">
        <f t="shared" ca="1" si="64"/>
        <v>1</v>
      </c>
      <c r="G526" s="76">
        <f t="shared" ca="1" si="65"/>
        <v>0</v>
      </c>
      <c r="H526" s="76">
        <f ca="1">SUM($G$4:G526)</f>
        <v>-25.155084302325577</v>
      </c>
      <c r="I526" s="76">
        <f t="shared" ca="1" si="66"/>
        <v>0</v>
      </c>
      <c r="J526" s="76">
        <f t="shared" ca="1" si="67"/>
        <v>0</v>
      </c>
    </row>
    <row r="527" spans="2:10" x14ac:dyDescent="0.2">
      <c r="B527" s="66"/>
      <c r="C527" s="46">
        <f t="shared" ca="1" si="61"/>
        <v>0</v>
      </c>
      <c r="D527" s="46">
        <f t="shared" ca="1" si="62"/>
        <v>860</v>
      </c>
      <c r="E527" s="74">
        <f t="shared" ca="1" si="63"/>
        <v>1</v>
      </c>
      <c r="F527">
        <f t="shared" ca="1" si="64"/>
        <v>1</v>
      </c>
      <c r="G527" s="76">
        <f t="shared" ca="1" si="65"/>
        <v>0</v>
      </c>
      <c r="H527" s="76">
        <f ca="1">SUM($G$4:G527)</f>
        <v>-25.155084302325577</v>
      </c>
      <c r="I527" s="76">
        <f t="shared" ca="1" si="66"/>
        <v>0</v>
      </c>
      <c r="J527" s="76">
        <f t="shared" ca="1" si="67"/>
        <v>0</v>
      </c>
    </row>
    <row r="528" spans="2:10" x14ac:dyDescent="0.2">
      <c r="B528" s="66"/>
      <c r="C528" s="46">
        <f t="shared" ca="1" si="61"/>
        <v>0</v>
      </c>
      <c r="D528" s="46">
        <f t="shared" ca="1" si="62"/>
        <v>860</v>
      </c>
      <c r="E528" s="74">
        <f t="shared" ca="1" si="63"/>
        <v>1</v>
      </c>
      <c r="F528">
        <f t="shared" ca="1" si="64"/>
        <v>1</v>
      </c>
      <c r="G528" s="76">
        <f t="shared" ca="1" si="65"/>
        <v>0</v>
      </c>
      <c r="H528" s="76">
        <f ca="1">SUM($G$4:G528)</f>
        <v>-25.155084302325577</v>
      </c>
      <c r="I528" s="76">
        <f t="shared" ca="1" si="66"/>
        <v>0</v>
      </c>
      <c r="J528" s="76">
        <f t="shared" ca="1" si="67"/>
        <v>0</v>
      </c>
    </row>
    <row r="529" spans="2:10" x14ac:dyDescent="0.2">
      <c r="B529" s="66"/>
      <c r="C529" s="46">
        <f t="shared" ca="1" si="61"/>
        <v>0</v>
      </c>
      <c r="D529" s="46">
        <f t="shared" ca="1" si="62"/>
        <v>860</v>
      </c>
      <c r="E529" s="74">
        <f t="shared" ca="1" si="63"/>
        <v>1</v>
      </c>
      <c r="F529">
        <f t="shared" ca="1" si="64"/>
        <v>1</v>
      </c>
      <c r="G529" s="76">
        <f t="shared" ca="1" si="65"/>
        <v>0</v>
      </c>
      <c r="H529" s="76">
        <f ca="1">SUM($G$4:G529)</f>
        <v>-25.155084302325577</v>
      </c>
      <c r="I529" s="76">
        <f t="shared" ca="1" si="66"/>
        <v>0</v>
      </c>
      <c r="J529" s="76">
        <f t="shared" ca="1" si="67"/>
        <v>0</v>
      </c>
    </row>
    <row r="530" spans="2:10" x14ac:dyDescent="0.2">
      <c r="B530" s="66"/>
      <c r="C530" s="46">
        <f t="shared" ca="1" si="61"/>
        <v>0</v>
      </c>
      <c r="D530" s="46">
        <f t="shared" ca="1" si="62"/>
        <v>860</v>
      </c>
      <c r="E530" s="74">
        <f t="shared" ca="1" si="63"/>
        <v>1</v>
      </c>
      <c r="F530">
        <f t="shared" ca="1" si="64"/>
        <v>1</v>
      </c>
      <c r="G530" s="76">
        <f t="shared" ca="1" si="65"/>
        <v>0</v>
      </c>
      <c r="H530" s="76">
        <f ca="1">SUM($G$4:G530)</f>
        <v>-25.155084302325577</v>
      </c>
      <c r="I530" s="76">
        <f t="shared" ca="1" si="66"/>
        <v>0</v>
      </c>
      <c r="J530" s="76">
        <f t="shared" ca="1" si="67"/>
        <v>0</v>
      </c>
    </row>
    <row r="531" spans="2:10" x14ac:dyDescent="0.2">
      <c r="B531" s="66"/>
      <c r="C531" s="46">
        <f t="shared" ca="1" si="61"/>
        <v>0</v>
      </c>
      <c r="D531" s="46">
        <f t="shared" ca="1" si="62"/>
        <v>860</v>
      </c>
      <c r="E531" s="74">
        <f t="shared" ca="1" si="63"/>
        <v>1</v>
      </c>
      <c r="F531">
        <f t="shared" ca="1" si="64"/>
        <v>1</v>
      </c>
      <c r="G531" s="76">
        <f t="shared" ca="1" si="65"/>
        <v>0</v>
      </c>
      <c r="H531" s="76">
        <f ca="1">SUM($G$4:G531)</f>
        <v>-25.155084302325577</v>
      </c>
      <c r="I531" s="76">
        <f t="shared" ca="1" si="66"/>
        <v>0</v>
      </c>
      <c r="J531" s="76">
        <f t="shared" ca="1" si="67"/>
        <v>0</v>
      </c>
    </row>
    <row r="532" spans="2:10" x14ac:dyDescent="0.2">
      <c r="B532" s="66"/>
      <c r="C532" s="46">
        <f t="shared" ca="1" si="61"/>
        <v>0</v>
      </c>
      <c r="D532" s="46">
        <f t="shared" ca="1" si="62"/>
        <v>860</v>
      </c>
      <c r="E532" s="74">
        <f t="shared" ca="1" si="63"/>
        <v>1</v>
      </c>
      <c r="F532">
        <f t="shared" ca="1" si="64"/>
        <v>1</v>
      </c>
      <c r="G532" s="76">
        <f t="shared" ca="1" si="65"/>
        <v>0</v>
      </c>
      <c r="H532" s="76">
        <f ca="1">SUM($G$4:G532)</f>
        <v>-25.155084302325577</v>
      </c>
      <c r="I532" s="76">
        <f t="shared" ca="1" si="66"/>
        <v>0</v>
      </c>
      <c r="J532" s="76">
        <f t="shared" ca="1" si="67"/>
        <v>0</v>
      </c>
    </row>
    <row r="533" spans="2:10" x14ac:dyDescent="0.2">
      <c r="B533" s="66"/>
      <c r="C533" s="46">
        <f t="shared" ca="1" si="61"/>
        <v>0</v>
      </c>
      <c r="D533" s="46">
        <f t="shared" ca="1" si="62"/>
        <v>860</v>
      </c>
      <c r="E533" s="74">
        <f t="shared" ca="1" si="63"/>
        <v>1</v>
      </c>
      <c r="F533">
        <f t="shared" ca="1" si="64"/>
        <v>1</v>
      </c>
      <c r="G533" s="76">
        <f t="shared" ca="1" si="65"/>
        <v>0</v>
      </c>
      <c r="H533" s="76">
        <f ca="1">SUM($G$4:G533)</f>
        <v>-25.155084302325577</v>
      </c>
      <c r="I533" s="76">
        <f t="shared" ca="1" si="66"/>
        <v>0</v>
      </c>
      <c r="J533" s="76">
        <f t="shared" ca="1" si="67"/>
        <v>0</v>
      </c>
    </row>
    <row r="534" spans="2:10" x14ac:dyDescent="0.2">
      <c r="B534" s="66"/>
      <c r="C534" s="46">
        <f t="shared" ca="1" si="61"/>
        <v>0</v>
      </c>
      <c r="D534" s="46">
        <f t="shared" ca="1" si="62"/>
        <v>860</v>
      </c>
      <c r="E534" s="74">
        <f t="shared" ca="1" si="63"/>
        <v>1</v>
      </c>
      <c r="F534">
        <f t="shared" ca="1" si="64"/>
        <v>1</v>
      </c>
      <c r="G534" s="76">
        <f t="shared" ca="1" si="65"/>
        <v>0</v>
      </c>
      <c r="H534" s="76">
        <f ca="1">SUM($G$4:G534)</f>
        <v>-25.155084302325577</v>
      </c>
      <c r="I534" s="76">
        <f t="shared" ca="1" si="66"/>
        <v>0</v>
      </c>
      <c r="J534" s="76">
        <f t="shared" ca="1" si="67"/>
        <v>0</v>
      </c>
    </row>
    <row r="535" spans="2:10" x14ac:dyDescent="0.2">
      <c r="B535" s="66"/>
      <c r="C535" s="46">
        <f t="shared" ca="1" si="61"/>
        <v>0</v>
      </c>
      <c r="D535" s="46">
        <f t="shared" ca="1" si="62"/>
        <v>860</v>
      </c>
      <c r="E535" s="74">
        <f t="shared" ca="1" si="63"/>
        <v>1</v>
      </c>
      <c r="F535">
        <f t="shared" ca="1" si="64"/>
        <v>1</v>
      </c>
      <c r="G535" s="76">
        <f t="shared" ca="1" si="65"/>
        <v>0</v>
      </c>
      <c r="H535" s="76">
        <f ca="1">SUM($G$4:G535)</f>
        <v>-25.155084302325577</v>
      </c>
      <c r="I535" s="76">
        <f t="shared" ca="1" si="66"/>
        <v>0</v>
      </c>
      <c r="J535" s="76">
        <f t="shared" ca="1" si="67"/>
        <v>0</v>
      </c>
    </row>
    <row r="536" spans="2:10" x14ac:dyDescent="0.2">
      <c r="B536" s="66"/>
      <c r="C536" s="46">
        <f t="shared" ca="1" si="61"/>
        <v>0</v>
      </c>
      <c r="D536" s="46">
        <f t="shared" ca="1" si="62"/>
        <v>860</v>
      </c>
      <c r="E536" s="74">
        <f t="shared" ca="1" si="63"/>
        <v>1</v>
      </c>
      <c r="F536">
        <f t="shared" ca="1" si="64"/>
        <v>1</v>
      </c>
      <c r="G536" s="76">
        <f t="shared" ca="1" si="65"/>
        <v>0</v>
      </c>
      <c r="H536" s="76">
        <f ca="1">SUM($G$4:G536)</f>
        <v>-25.155084302325577</v>
      </c>
      <c r="I536" s="76">
        <f t="shared" ca="1" si="66"/>
        <v>0</v>
      </c>
      <c r="J536" s="76">
        <f t="shared" ca="1" si="67"/>
        <v>0</v>
      </c>
    </row>
    <row r="537" spans="2:10" x14ac:dyDescent="0.2">
      <c r="B537" s="66"/>
      <c r="C537" s="46">
        <f t="shared" ca="1" si="61"/>
        <v>0</v>
      </c>
      <c r="D537" s="46">
        <f t="shared" ca="1" si="62"/>
        <v>860</v>
      </c>
      <c r="E537" s="74">
        <f t="shared" ca="1" si="63"/>
        <v>1</v>
      </c>
      <c r="F537">
        <f t="shared" ca="1" si="64"/>
        <v>1</v>
      </c>
      <c r="G537" s="76">
        <f t="shared" ca="1" si="65"/>
        <v>0</v>
      </c>
      <c r="H537" s="76">
        <f ca="1">SUM($G$4:G537)</f>
        <v>-25.155084302325577</v>
      </c>
      <c r="I537" s="76">
        <f t="shared" ca="1" si="66"/>
        <v>0</v>
      </c>
      <c r="J537" s="76">
        <f t="shared" ca="1" si="67"/>
        <v>0</v>
      </c>
    </row>
    <row r="538" spans="2:10" x14ac:dyDescent="0.2">
      <c r="B538" s="66"/>
      <c r="C538" s="46">
        <f t="shared" ca="1" si="61"/>
        <v>0</v>
      </c>
      <c r="D538" s="46">
        <f t="shared" ca="1" si="62"/>
        <v>860</v>
      </c>
      <c r="E538" s="74">
        <f t="shared" ca="1" si="63"/>
        <v>1</v>
      </c>
      <c r="F538">
        <f t="shared" ca="1" si="64"/>
        <v>1</v>
      </c>
      <c r="G538" s="76">
        <f t="shared" ca="1" si="65"/>
        <v>0</v>
      </c>
      <c r="H538" s="76">
        <f ca="1">SUM($G$4:G538)</f>
        <v>-25.155084302325577</v>
      </c>
      <c r="I538" s="76">
        <f t="shared" ca="1" si="66"/>
        <v>0</v>
      </c>
      <c r="J538" s="76">
        <f t="shared" ca="1" si="67"/>
        <v>0</v>
      </c>
    </row>
    <row r="539" spans="2:10" x14ac:dyDescent="0.2">
      <c r="B539" s="66"/>
      <c r="C539" s="46">
        <f t="shared" ca="1" si="61"/>
        <v>0</v>
      </c>
      <c r="D539" s="46">
        <f t="shared" ca="1" si="62"/>
        <v>860</v>
      </c>
      <c r="E539" s="74">
        <f t="shared" ca="1" si="63"/>
        <v>1</v>
      </c>
      <c r="F539">
        <f t="shared" ca="1" si="64"/>
        <v>1</v>
      </c>
      <c r="G539" s="76">
        <f t="shared" ca="1" si="65"/>
        <v>0</v>
      </c>
      <c r="H539" s="76">
        <f ca="1">SUM($G$4:G539)</f>
        <v>-25.155084302325577</v>
      </c>
      <c r="I539" s="76">
        <f t="shared" ca="1" si="66"/>
        <v>0</v>
      </c>
      <c r="J539" s="76">
        <f t="shared" ca="1" si="67"/>
        <v>0</v>
      </c>
    </row>
    <row r="540" spans="2:10" x14ac:dyDescent="0.2">
      <c r="B540" s="66"/>
      <c r="C540" s="46">
        <f t="shared" ca="1" si="61"/>
        <v>0</v>
      </c>
      <c r="D540" s="46">
        <f t="shared" ca="1" si="62"/>
        <v>860</v>
      </c>
      <c r="E540" s="74">
        <f t="shared" ca="1" si="63"/>
        <v>1</v>
      </c>
      <c r="F540">
        <f t="shared" ca="1" si="64"/>
        <v>1</v>
      </c>
      <c r="G540" s="76">
        <f t="shared" ca="1" si="65"/>
        <v>0</v>
      </c>
      <c r="H540" s="76">
        <f ca="1">SUM($G$4:G540)</f>
        <v>-25.155084302325577</v>
      </c>
      <c r="I540" s="76">
        <f t="shared" ca="1" si="66"/>
        <v>0</v>
      </c>
      <c r="J540" s="76">
        <f t="shared" ca="1" si="67"/>
        <v>0</v>
      </c>
    </row>
    <row r="541" spans="2:10" x14ac:dyDescent="0.2">
      <c r="B541" s="66"/>
      <c r="C541" s="46">
        <f t="shared" ca="1" si="61"/>
        <v>0</v>
      </c>
      <c r="D541" s="46">
        <f t="shared" ca="1" si="62"/>
        <v>860</v>
      </c>
      <c r="E541" s="74">
        <f t="shared" ca="1" si="63"/>
        <v>1</v>
      </c>
      <c r="F541">
        <f t="shared" ca="1" si="64"/>
        <v>1</v>
      </c>
      <c r="G541" s="76">
        <f t="shared" ca="1" si="65"/>
        <v>0</v>
      </c>
      <c r="H541" s="76">
        <f ca="1">SUM($G$4:G541)</f>
        <v>-25.155084302325577</v>
      </c>
      <c r="I541" s="76">
        <f t="shared" ca="1" si="66"/>
        <v>0</v>
      </c>
      <c r="J541" s="76">
        <f t="shared" ca="1" si="67"/>
        <v>0</v>
      </c>
    </row>
    <row r="542" spans="2:10" x14ac:dyDescent="0.2">
      <c r="B542" s="66"/>
      <c r="C542" s="46">
        <f t="shared" ca="1" si="61"/>
        <v>0</v>
      </c>
      <c r="D542" s="46">
        <f t="shared" ca="1" si="62"/>
        <v>860</v>
      </c>
      <c r="E542" s="74">
        <f t="shared" ca="1" si="63"/>
        <v>1</v>
      </c>
      <c r="F542">
        <f t="shared" ca="1" si="64"/>
        <v>1</v>
      </c>
      <c r="G542" s="76">
        <f t="shared" ca="1" si="65"/>
        <v>0</v>
      </c>
      <c r="H542" s="76">
        <f ca="1">SUM($G$4:G542)</f>
        <v>-25.155084302325577</v>
      </c>
      <c r="I542" s="76">
        <f t="shared" ca="1" si="66"/>
        <v>0</v>
      </c>
      <c r="J542" s="76">
        <f t="shared" ca="1" si="67"/>
        <v>0</v>
      </c>
    </row>
    <row r="543" spans="2:10" x14ac:dyDescent="0.2">
      <c r="B543" s="66"/>
      <c r="C543" s="46">
        <f t="shared" ca="1" si="61"/>
        <v>0</v>
      </c>
      <c r="D543" s="46">
        <f t="shared" ca="1" si="62"/>
        <v>860</v>
      </c>
      <c r="E543" s="74">
        <f t="shared" ca="1" si="63"/>
        <v>1</v>
      </c>
      <c r="F543">
        <f t="shared" ca="1" si="64"/>
        <v>1</v>
      </c>
      <c r="G543" s="76">
        <f t="shared" ca="1" si="65"/>
        <v>0</v>
      </c>
      <c r="H543" s="76">
        <f ca="1">SUM($G$4:G543)</f>
        <v>-25.155084302325577</v>
      </c>
      <c r="I543" s="76">
        <f t="shared" ca="1" si="66"/>
        <v>0</v>
      </c>
      <c r="J543" s="76">
        <f t="shared" ca="1" si="67"/>
        <v>0</v>
      </c>
    </row>
    <row r="544" spans="2:10" x14ac:dyDescent="0.2">
      <c r="B544" s="66"/>
      <c r="C544" s="46">
        <f t="shared" ca="1" si="61"/>
        <v>0</v>
      </c>
      <c r="D544" s="46">
        <f t="shared" ca="1" si="62"/>
        <v>860</v>
      </c>
      <c r="E544" s="74">
        <f t="shared" ca="1" si="63"/>
        <v>1</v>
      </c>
      <c r="F544">
        <f t="shared" ca="1" si="64"/>
        <v>1</v>
      </c>
      <c r="G544" s="76">
        <f t="shared" ca="1" si="65"/>
        <v>0</v>
      </c>
      <c r="H544" s="76">
        <f ca="1">SUM($G$4:G544)</f>
        <v>-25.155084302325577</v>
      </c>
      <c r="I544" s="76">
        <f t="shared" ca="1" si="66"/>
        <v>0</v>
      </c>
      <c r="J544" s="76">
        <f t="shared" ca="1" si="67"/>
        <v>0</v>
      </c>
    </row>
    <row r="545" spans="2:10" x14ac:dyDescent="0.2">
      <c r="B545" s="66"/>
      <c r="C545" s="46">
        <f t="shared" ca="1" si="61"/>
        <v>0</v>
      </c>
      <c r="D545" s="46">
        <f t="shared" ca="1" si="62"/>
        <v>860</v>
      </c>
      <c r="E545" s="74">
        <f t="shared" ca="1" si="63"/>
        <v>1</v>
      </c>
      <c r="F545">
        <f t="shared" ca="1" si="64"/>
        <v>1</v>
      </c>
      <c r="G545" s="76">
        <f t="shared" ca="1" si="65"/>
        <v>0</v>
      </c>
      <c r="H545" s="76">
        <f ca="1">SUM($G$4:G545)</f>
        <v>-25.155084302325577</v>
      </c>
      <c r="I545" s="76">
        <f t="shared" ca="1" si="66"/>
        <v>0</v>
      </c>
      <c r="J545" s="76">
        <f t="shared" ca="1" si="67"/>
        <v>0</v>
      </c>
    </row>
    <row r="546" spans="2:10" x14ac:dyDescent="0.2">
      <c r="B546" s="66"/>
      <c r="C546" s="46">
        <f t="shared" ca="1" si="61"/>
        <v>0</v>
      </c>
      <c r="D546" s="46">
        <f t="shared" ca="1" si="62"/>
        <v>860</v>
      </c>
      <c r="E546" s="74">
        <f t="shared" ca="1" si="63"/>
        <v>1</v>
      </c>
      <c r="F546">
        <f t="shared" ca="1" si="64"/>
        <v>1</v>
      </c>
      <c r="G546" s="76">
        <f t="shared" ca="1" si="65"/>
        <v>0</v>
      </c>
      <c r="H546" s="76">
        <f ca="1">SUM($G$4:G546)</f>
        <v>-25.155084302325577</v>
      </c>
      <c r="I546" s="76">
        <f t="shared" ca="1" si="66"/>
        <v>0</v>
      </c>
      <c r="J546" s="76">
        <f t="shared" ca="1" si="67"/>
        <v>0</v>
      </c>
    </row>
    <row r="547" spans="2:10" x14ac:dyDescent="0.2">
      <c r="B547" s="66"/>
      <c r="C547" s="46">
        <f t="shared" ca="1" si="61"/>
        <v>0</v>
      </c>
      <c r="D547" s="46">
        <f t="shared" ca="1" si="62"/>
        <v>860</v>
      </c>
      <c r="E547" s="74">
        <f t="shared" ca="1" si="63"/>
        <v>1</v>
      </c>
      <c r="F547">
        <f t="shared" ca="1" si="64"/>
        <v>1</v>
      </c>
      <c r="G547" s="76">
        <f t="shared" ca="1" si="65"/>
        <v>0</v>
      </c>
      <c r="H547" s="76">
        <f ca="1">SUM($G$4:G547)</f>
        <v>-25.155084302325577</v>
      </c>
      <c r="I547" s="76">
        <f t="shared" ca="1" si="66"/>
        <v>0</v>
      </c>
      <c r="J547" s="76">
        <f t="shared" ca="1" si="67"/>
        <v>0</v>
      </c>
    </row>
    <row r="548" spans="2:10" x14ac:dyDescent="0.2">
      <c r="B548" s="66"/>
      <c r="C548" s="46">
        <f t="shared" ca="1" si="61"/>
        <v>0</v>
      </c>
      <c r="D548" s="46">
        <f t="shared" ca="1" si="62"/>
        <v>860</v>
      </c>
      <c r="E548" s="74">
        <f t="shared" ca="1" si="63"/>
        <v>1</v>
      </c>
      <c r="F548">
        <f t="shared" ca="1" si="64"/>
        <v>1</v>
      </c>
      <c r="G548" s="76">
        <f t="shared" ca="1" si="65"/>
        <v>0</v>
      </c>
      <c r="H548" s="76">
        <f ca="1">SUM($G$4:G548)</f>
        <v>-25.155084302325577</v>
      </c>
      <c r="I548" s="76">
        <f t="shared" ca="1" si="66"/>
        <v>0</v>
      </c>
      <c r="J548" s="76">
        <f t="shared" ca="1" si="67"/>
        <v>0</v>
      </c>
    </row>
    <row r="549" spans="2:10" x14ac:dyDescent="0.2">
      <c r="B549" s="66"/>
      <c r="C549" s="46">
        <f t="shared" ca="1" si="61"/>
        <v>0</v>
      </c>
      <c r="D549" s="46">
        <f t="shared" ca="1" si="62"/>
        <v>860</v>
      </c>
      <c r="E549" s="74">
        <f t="shared" ca="1" si="63"/>
        <v>1</v>
      </c>
      <c r="F549">
        <f t="shared" ca="1" si="64"/>
        <v>1</v>
      </c>
      <c r="G549" s="76">
        <f t="shared" ca="1" si="65"/>
        <v>0</v>
      </c>
      <c r="H549" s="76">
        <f ca="1">SUM($G$4:G549)</f>
        <v>-25.155084302325577</v>
      </c>
      <c r="I549" s="76">
        <f t="shared" ca="1" si="66"/>
        <v>0</v>
      </c>
      <c r="J549" s="76">
        <f t="shared" ca="1" si="67"/>
        <v>0</v>
      </c>
    </row>
    <row r="550" spans="2:10" x14ac:dyDescent="0.2">
      <c r="B550" s="66"/>
      <c r="C550" s="46">
        <f t="shared" ca="1" si="61"/>
        <v>0</v>
      </c>
      <c r="D550" s="46">
        <f t="shared" ca="1" si="62"/>
        <v>860</v>
      </c>
      <c r="E550" s="74">
        <f t="shared" ca="1" si="63"/>
        <v>1</v>
      </c>
      <c r="F550">
        <f t="shared" ca="1" si="64"/>
        <v>1</v>
      </c>
      <c r="G550" s="76">
        <f t="shared" ca="1" si="65"/>
        <v>0</v>
      </c>
      <c r="H550" s="76">
        <f ca="1">SUM($G$4:G550)</f>
        <v>-25.155084302325577</v>
      </c>
      <c r="I550" s="76">
        <f t="shared" ca="1" si="66"/>
        <v>0</v>
      </c>
      <c r="J550" s="76">
        <f t="shared" ca="1" si="67"/>
        <v>0</v>
      </c>
    </row>
    <row r="551" spans="2:10" x14ac:dyDescent="0.2">
      <c r="B551" s="66"/>
      <c r="C551" s="46">
        <f t="shared" ca="1" si="61"/>
        <v>0</v>
      </c>
      <c r="D551" s="46">
        <f t="shared" ca="1" si="62"/>
        <v>860</v>
      </c>
      <c r="E551" s="74">
        <f t="shared" ca="1" si="63"/>
        <v>1</v>
      </c>
      <c r="F551">
        <f t="shared" ca="1" si="64"/>
        <v>1</v>
      </c>
      <c r="G551" s="76">
        <f t="shared" ca="1" si="65"/>
        <v>0</v>
      </c>
      <c r="H551" s="76">
        <f ca="1">SUM($G$4:G551)</f>
        <v>-25.155084302325577</v>
      </c>
      <c r="I551" s="76">
        <f t="shared" ca="1" si="66"/>
        <v>0</v>
      </c>
      <c r="J551" s="76">
        <f t="shared" ca="1" si="67"/>
        <v>0</v>
      </c>
    </row>
    <row r="552" spans="2:10" x14ac:dyDescent="0.2">
      <c r="B552" s="66"/>
      <c r="C552" s="46">
        <f t="shared" ca="1" si="61"/>
        <v>0</v>
      </c>
      <c r="D552" s="46">
        <f t="shared" ca="1" si="62"/>
        <v>860</v>
      </c>
      <c r="E552" s="74">
        <f t="shared" ca="1" si="63"/>
        <v>1</v>
      </c>
      <c r="F552">
        <f t="shared" ca="1" si="64"/>
        <v>1</v>
      </c>
      <c r="G552" s="76">
        <f t="shared" ca="1" si="65"/>
        <v>0</v>
      </c>
      <c r="H552" s="76">
        <f ca="1">SUM($G$4:G552)</f>
        <v>-25.155084302325577</v>
      </c>
      <c r="I552" s="76">
        <f t="shared" ca="1" si="66"/>
        <v>0</v>
      </c>
      <c r="J552" s="76">
        <f t="shared" ca="1" si="67"/>
        <v>0</v>
      </c>
    </row>
    <row r="553" spans="2:10" x14ac:dyDescent="0.2">
      <c r="B553" s="66"/>
      <c r="C553" s="46">
        <f t="shared" ca="1" si="61"/>
        <v>0</v>
      </c>
      <c r="D553" s="46">
        <f t="shared" ca="1" si="62"/>
        <v>860</v>
      </c>
      <c r="E553" s="74">
        <f t="shared" ca="1" si="63"/>
        <v>1</v>
      </c>
      <c r="F553">
        <f t="shared" ca="1" si="64"/>
        <v>1</v>
      </c>
      <c r="G553" s="76">
        <f t="shared" ca="1" si="65"/>
        <v>0</v>
      </c>
      <c r="H553" s="76">
        <f ca="1">SUM($G$4:G553)</f>
        <v>-25.155084302325577</v>
      </c>
      <c r="I553" s="76">
        <f t="shared" ca="1" si="66"/>
        <v>0</v>
      </c>
      <c r="J553" s="76">
        <f t="shared" ca="1" si="67"/>
        <v>0</v>
      </c>
    </row>
    <row r="554" spans="2:10" x14ac:dyDescent="0.2">
      <c r="B554" s="66"/>
      <c r="C554" s="46">
        <f t="shared" ca="1" si="61"/>
        <v>0</v>
      </c>
      <c r="D554" s="46">
        <f t="shared" ca="1" si="62"/>
        <v>860</v>
      </c>
      <c r="E554" s="74">
        <f t="shared" ca="1" si="63"/>
        <v>1</v>
      </c>
      <c r="F554">
        <f t="shared" ca="1" si="64"/>
        <v>1</v>
      </c>
      <c r="G554" s="76">
        <f t="shared" ca="1" si="65"/>
        <v>0</v>
      </c>
      <c r="H554" s="76">
        <f ca="1">SUM($G$4:G554)</f>
        <v>-25.155084302325577</v>
      </c>
      <c r="I554" s="76">
        <f t="shared" ca="1" si="66"/>
        <v>0</v>
      </c>
      <c r="J554" s="76">
        <f t="shared" ca="1" si="67"/>
        <v>0</v>
      </c>
    </row>
    <row r="555" spans="2:10" x14ac:dyDescent="0.2">
      <c r="B555" s="66"/>
      <c r="C555" s="46">
        <f t="shared" ca="1" si="61"/>
        <v>0</v>
      </c>
      <c r="D555" s="46">
        <f t="shared" ca="1" si="62"/>
        <v>860</v>
      </c>
      <c r="E555" s="74">
        <f t="shared" ca="1" si="63"/>
        <v>1</v>
      </c>
      <c r="F555">
        <f t="shared" ca="1" si="64"/>
        <v>1</v>
      </c>
      <c r="G555" s="76">
        <f t="shared" ca="1" si="65"/>
        <v>0</v>
      </c>
      <c r="H555" s="76">
        <f ca="1">SUM($G$4:G555)</f>
        <v>-25.155084302325577</v>
      </c>
      <c r="I555" s="76">
        <f t="shared" ca="1" si="66"/>
        <v>0</v>
      </c>
      <c r="J555" s="76">
        <f t="shared" ca="1" si="67"/>
        <v>0</v>
      </c>
    </row>
    <row r="556" spans="2:10" x14ac:dyDescent="0.2">
      <c r="B556" s="66"/>
      <c r="C556" s="46">
        <f t="shared" ca="1" si="61"/>
        <v>0</v>
      </c>
      <c r="D556" s="46">
        <f t="shared" ca="1" si="62"/>
        <v>860</v>
      </c>
      <c r="E556" s="74">
        <f t="shared" ca="1" si="63"/>
        <v>1</v>
      </c>
      <c r="F556">
        <f t="shared" ca="1" si="64"/>
        <v>1</v>
      </c>
      <c r="G556" s="76">
        <f t="shared" ca="1" si="65"/>
        <v>0</v>
      </c>
      <c r="H556" s="76">
        <f ca="1">SUM($G$4:G556)</f>
        <v>-25.155084302325577</v>
      </c>
      <c r="I556" s="76">
        <f t="shared" ca="1" si="66"/>
        <v>0</v>
      </c>
      <c r="J556" s="76">
        <f t="shared" ca="1" si="67"/>
        <v>0</v>
      </c>
    </row>
    <row r="557" spans="2:10" x14ac:dyDescent="0.2">
      <c r="B557" s="66"/>
      <c r="C557" s="46">
        <f t="shared" ca="1" si="61"/>
        <v>0</v>
      </c>
      <c r="D557" s="46">
        <f t="shared" ca="1" si="62"/>
        <v>860</v>
      </c>
      <c r="E557" s="74">
        <f t="shared" ca="1" si="63"/>
        <v>1</v>
      </c>
      <c r="F557">
        <f t="shared" ca="1" si="64"/>
        <v>1</v>
      </c>
      <c r="G557" s="76">
        <f t="shared" ca="1" si="65"/>
        <v>0</v>
      </c>
      <c r="H557" s="76">
        <f ca="1">SUM($G$4:G557)</f>
        <v>-25.155084302325577</v>
      </c>
      <c r="I557" s="76">
        <f t="shared" ca="1" si="66"/>
        <v>0</v>
      </c>
      <c r="J557" s="76">
        <f t="shared" ca="1" si="67"/>
        <v>0</v>
      </c>
    </row>
    <row r="558" spans="2:10" x14ac:dyDescent="0.2">
      <c r="B558" s="66"/>
      <c r="C558" s="46">
        <f t="shared" ca="1" si="61"/>
        <v>0</v>
      </c>
      <c r="D558" s="46">
        <f t="shared" ca="1" si="62"/>
        <v>860</v>
      </c>
      <c r="E558" s="74">
        <f t="shared" ca="1" si="63"/>
        <v>1</v>
      </c>
      <c r="F558">
        <f t="shared" ca="1" si="64"/>
        <v>1</v>
      </c>
      <c r="G558" s="76">
        <f t="shared" ca="1" si="65"/>
        <v>0</v>
      </c>
      <c r="H558" s="76">
        <f ca="1">SUM($G$4:G558)</f>
        <v>-25.155084302325577</v>
      </c>
      <c r="I558" s="76">
        <f t="shared" ca="1" si="66"/>
        <v>0</v>
      </c>
      <c r="J558" s="76">
        <f t="shared" ca="1" si="67"/>
        <v>0</v>
      </c>
    </row>
    <row r="559" spans="2:10" x14ac:dyDescent="0.2">
      <c r="B559" s="66"/>
      <c r="C559" s="46">
        <f t="shared" ca="1" si="61"/>
        <v>0</v>
      </c>
      <c r="D559" s="46">
        <f t="shared" ca="1" si="62"/>
        <v>860</v>
      </c>
      <c r="E559" s="74">
        <f t="shared" ca="1" si="63"/>
        <v>1</v>
      </c>
      <c r="F559">
        <f t="shared" ca="1" si="64"/>
        <v>1</v>
      </c>
      <c r="G559" s="76">
        <f t="shared" ca="1" si="65"/>
        <v>0</v>
      </c>
      <c r="H559" s="76">
        <f ca="1">SUM($G$4:G559)</f>
        <v>-25.155084302325577</v>
      </c>
      <c r="I559" s="76">
        <f t="shared" ca="1" si="66"/>
        <v>0</v>
      </c>
      <c r="J559" s="76">
        <f t="shared" ca="1" si="67"/>
        <v>0</v>
      </c>
    </row>
    <row r="560" spans="2:10" x14ac:dyDescent="0.2">
      <c r="B560" s="66"/>
      <c r="C560" s="46">
        <f t="shared" ca="1" si="61"/>
        <v>0</v>
      </c>
      <c r="D560" s="46">
        <f t="shared" ca="1" si="62"/>
        <v>860</v>
      </c>
      <c r="E560" s="74">
        <f t="shared" ca="1" si="63"/>
        <v>1</v>
      </c>
      <c r="F560">
        <f t="shared" ca="1" si="64"/>
        <v>1</v>
      </c>
      <c r="G560" s="76">
        <f t="shared" ca="1" si="65"/>
        <v>0</v>
      </c>
      <c r="H560" s="76">
        <f ca="1">SUM($G$4:G560)</f>
        <v>-25.155084302325577</v>
      </c>
      <c r="I560" s="76">
        <f t="shared" ca="1" si="66"/>
        <v>0</v>
      </c>
      <c r="J560" s="76">
        <f t="shared" ca="1" si="67"/>
        <v>0</v>
      </c>
    </row>
    <row r="561" spans="2:10" x14ac:dyDescent="0.2">
      <c r="B561" s="66"/>
      <c r="C561" s="46">
        <f t="shared" ca="1" si="61"/>
        <v>0</v>
      </c>
      <c r="D561" s="46">
        <f t="shared" ca="1" si="62"/>
        <v>860</v>
      </c>
      <c r="E561" s="74">
        <f t="shared" ca="1" si="63"/>
        <v>1</v>
      </c>
      <c r="F561">
        <f t="shared" ca="1" si="64"/>
        <v>1</v>
      </c>
      <c r="G561" s="76">
        <f t="shared" ca="1" si="65"/>
        <v>0</v>
      </c>
      <c r="H561" s="76">
        <f ca="1">SUM($G$4:G561)</f>
        <v>-25.155084302325577</v>
      </c>
      <c r="I561" s="76">
        <f t="shared" ca="1" si="66"/>
        <v>0</v>
      </c>
      <c r="J561" s="76">
        <f t="shared" ca="1" si="67"/>
        <v>0</v>
      </c>
    </row>
    <row r="562" spans="2:10" x14ac:dyDescent="0.2">
      <c r="B562" s="66"/>
      <c r="C562" s="46">
        <f t="shared" ca="1" si="61"/>
        <v>0</v>
      </c>
      <c r="D562" s="46">
        <f t="shared" ca="1" si="62"/>
        <v>860</v>
      </c>
      <c r="E562" s="74">
        <f t="shared" ca="1" si="63"/>
        <v>1</v>
      </c>
      <c r="F562">
        <f t="shared" ca="1" si="64"/>
        <v>1</v>
      </c>
      <c r="G562" s="76">
        <f t="shared" ca="1" si="65"/>
        <v>0</v>
      </c>
      <c r="H562" s="76">
        <f ca="1">SUM($G$4:G562)</f>
        <v>-25.155084302325577</v>
      </c>
      <c r="I562" s="76">
        <f t="shared" ca="1" si="66"/>
        <v>0</v>
      </c>
      <c r="J562" s="76">
        <f t="shared" ca="1" si="67"/>
        <v>0</v>
      </c>
    </row>
    <row r="563" spans="2:10" x14ac:dyDescent="0.2">
      <c r="B563" s="66"/>
      <c r="C563" s="46">
        <f t="shared" ca="1" si="61"/>
        <v>0</v>
      </c>
      <c r="D563" s="46">
        <f t="shared" ca="1" si="62"/>
        <v>860</v>
      </c>
      <c r="E563" s="74">
        <f t="shared" ca="1" si="63"/>
        <v>1</v>
      </c>
      <c r="F563">
        <f t="shared" ca="1" si="64"/>
        <v>1</v>
      </c>
      <c r="G563" s="76">
        <f t="shared" ca="1" si="65"/>
        <v>0</v>
      </c>
      <c r="H563" s="76">
        <f ca="1">SUM($G$4:G563)</f>
        <v>-25.155084302325577</v>
      </c>
      <c r="I563" s="76">
        <f t="shared" ca="1" si="66"/>
        <v>0</v>
      </c>
      <c r="J563" s="76">
        <f t="shared" ca="1" si="67"/>
        <v>0</v>
      </c>
    </row>
    <row r="564" spans="2:10" x14ac:dyDescent="0.2">
      <c r="B564" s="66"/>
      <c r="C564" s="46">
        <f t="shared" ca="1" si="61"/>
        <v>0</v>
      </c>
      <c r="D564" s="46">
        <f t="shared" ca="1" si="62"/>
        <v>860</v>
      </c>
      <c r="E564" s="74">
        <f t="shared" ca="1" si="63"/>
        <v>1</v>
      </c>
      <c r="F564">
        <f t="shared" ca="1" si="64"/>
        <v>1</v>
      </c>
      <c r="G564" s="76">
        <f t="shared" ca="1" si="65"/>
        <v>0</v>
      </c>
      <c r="H564" s="76">
        <f ca="1">SUM($G$4:G564)</f>
        <v>-25.155084302325577</v>
      </c>
      <c r="I564" s="76">
        <f t="shared" ca="1" si="66"/>
        <v>0</v>
      </c>
      <c r="J564" s="76">
        <f t="shared" ca="1" si="67"/>
        <v>0</v>
      </c>
    </row>
    <row r="565" spans="2:10" x14ac:dyDescent="0.2">
      <c r="B565" s="66"/>
      <c r="C565" s="46">
        <f t="shared" ca="1" si="61"/>
        <v>0</v>
      </c>
      <c r="D565" s="46">
        <f t="shared" ca="1" si="62"/>
        <v>860</v>
      </c>
      <c r="E565" s="74">
        <f t="shared" ca="1" si="63"/>
        <v>1</v>
      </c>
      <c r="F565">
        <f t="shared" ca="1" si="64"/>
        <v>1</v>
      </c>
      <c r="G565" s="76">
        <f t="shared" ca="1" si="65"/>
        <v>0</v>
      </c>
      <c r="H565" s="76">
        <f ca="1">SUM($G$4:G565)</f>
        <v>-25.155084302325577</v>
      </c>
      <c r="I565" s="76">
        <f t="shared" ca="1" si="66"/>
        <v>0</v>
      </c>
      <c r="J565" s="76">
        <f t="shared" ca="1" si="67"/>
        <v>0</v>
      </c>
    </row>
    <row r="566" spans="2:10" x14ac:dyDescent="0.2">
      <c r="B566" s="66"/>
      <c r="C566" s="46">
        <f t="shared" ca="1" si="61"/>
        <v>0</v>
      </c>
      <c r="D566" s="46">
        <f t="shared" ca="1" si="62"/>
        <v>860</v>
      </c>
      <c r="E566" s="74">
        <f t="shared" ca="1" si="63"/>
        <v>1</v>
      </c>
      <c r="F566">
        <f t="shared" ca="1" si="64"/>
        <v>1</v>
      </c>
      <c r="G566" s="76">
        <f t="shared" ca="1" si="65"/>
        <v>0</v>
      </c>
      <c r="H566" s="76">
        <f ca="1">SUM($G$4:G566)</f>
        <v>-25.155084302325577</v>
      </c>
      <c r="I566" s="76">
        <f t="shared" ca="1" si="66"/>
        <v>0</v>
      </c>
      <c r="J566" s="76">
        <f t="shared" ca="1" si="67"/>
        <v>0</v>
      </c>
    </row>
    <row r="567" spans="2:10" x14ac:dyDescent="0.2">
      <c r="B567" s="66"/>
      <c r="C567" s="46">
        <f t="shared" ca="1" si="61"/>
        <v>0</v>
      </c>
      <c r="D567" s="46">
        <f t="shared" ca="1" si="62"/>
        <v>860</v>
      </c>
      <c r="E567" s="74">
        <f t="shared" ca="1" si="63"/>
        <v>1</v>
      </c>
      <c r="F567">
        <f t="shared" ca="1" si="64"/>
        <v>1</v>
      </c>
      <c r="G567" s="76">
        <f t="shared" ca="1" si="65"/>
        <v>0</v>
      </c>
      <c r="H567" s="76">
        <f ca="1">SUM($G$4:G567)</f>
        <v>-25.155084302325577</v>
      </c>
      <c r="I567" s="76">
        <f t="shared" ca="1" si="66"/>
        <v>0</v>
      </c>
      <c r="J567" s="76">
        <f t="shared" ca="1" si="67"/>
        <v>0</v>
      </c>
    </row>
    <row r="568" spans="2:10" x14ac:dyDescent="0.2">
      <c r="B568" s="66"/>
      <c r="C568" s="46">
        <f t="shared" ca="1" si="61"/>
        <v>0</v>
      </c>
      <c r="D568" s="46">
        <f t="shared" ca="1" si="62"/>
        <v>860</v>
      </c>
      <c r="E568" s="74">
        <f t="shared" ca="1" si="63"/>
        <v>1</v>
      </c>
      <c r="F568">
        <f t="shared" ca="1" si="64"/>
        <v>1</v>
      </c>
      <c r="G568" s="76">
        <f t="shared" ca="1" si="65"/>
        <v>0</v>
      </c>
      <c r="H568" s="76">
        <f ca="1">SUM($G$4:G568)</f>
        <v>-25.155084302325577</v>
      </c>
      <c r="I568" s="76">
        <f t="shared" ca="1" si="66"/>
        <v>0</v>
      </c>
      <c r="J568" s="76">
        <f t="shared" ca="1" si="67"/>
        <v>0</v>
      </c>
    </row>
    <row r="569" spans="2:10" x14ac:dyDescent="0.2">
      <c r="B569" s="66"/>
      <c r="C569" s="46">
        <f t="shared" ca="1" si="61"/>
        <v>0</v>
      </c>
      <c r="D569" s="46">
        <f t="shared" ca="1" si="62"/>
        <v>860</v>
      </c>
      <c r="E569" s="74">
        <f t="shared" ca="1" si="63"/>
        <v>1</v>
      </c>
      <c r="F569">
        <f t="shared" ca="1" si="64"/>
        <v>1</v>
      </c>
      <c r="G569" s="76">
        <f t="shared" ca="1" si="65"/>
        <v>0</v>
      </c>
      <c r="H569" s="76">
        <f ca="1">SUM($G$4:G569)</f>
        <v>-25.155084302325577</v>
      </c>
      <c r="I569" s="76">
        <f t="shared" ca="1" si="66"/>
        <v>0</v>
      </c>
      <c r="J569" s="76">
        <f t="shared" ca="1" si="67"/>
        <v>0</v>
      </c>
    </row>
    <row r="570" spans="2:10" x14ac:dyDescent="0.2">
      <c r="B570" s="66"/>
      <c r="C570" s="46">
        <f t="shared" ca="1" si="61"/>
        <v>0</v>
      </c>
      <c r="D570" s="46">
        <f t="shared" ca="1" si="62"/>
        <v>860</v>
      </c>
      <c r="E570" s="74">
        <f t="shared" ca="1" si="63"/>
        <v>1</v>
      </c>
      <c r="F570">
        <f t="shared" ca="1" si="64"/>
        <v>1</v>
      </c>
      <c r="G570" s="76">
        <f t="shared" ca="1" si="65"/>
        <v>0</v>
      </c>
      <c r="H570" s="76">
        <f ca="1">SUM($G$4:G570)</f>
        <v>-25.155084302325577</v>
      </c>
      <c r="I570" s="76">
        <f t="shared" ca="1" si="66"/>
        <v>0</v>
      </c>
      <c r="J570" s="76">
        <f t="shared" ca="1" si="67"/>
        <v>0</v>
      </c>
    </row>
    <row r="571" spans="2:10" x14ac:dyDescent="0.2">
      <c r="B571" s="66"/>
      <c r="C571" s="46">
        <f t="shared" ca="1" si="61"/>
        <v>0</v>
      </c>
      <c r="D571" s="46">
        <f t="shared" ca="1" si="62"/>
        <v>860</v>
      </c>
      <c r="E571" s="74">
        <f t="shared" ca="1" si="63"/>
        <v>1</v>
      </c>
      <c r="F571">
        <f t="shared" ca="1" si="64"/>
        <v>1</v>
      </c>
      <c r="G571" s="76">
        <f t="shared" ca="1" si="65"/>
        <v>0</v>
      </c>
      <c r="H571" s="76">
        <f ca="1">SUM($G$4:G571)</f>
        <v>-25.155084302325577</v>
      </c>
      <c r="I571" s="76">
        <f t="shared" ca="1" si="66"/>
        <v>0</v>
      </c>
      <c r="J571" s="76">
        <f t="shared" ca="1" si="67"/>
        <v>0</v>
      </c>
    </row>
    <row r="572" spans="2:10" x14ac:dyDescent="0.2">
      <c r="B572" s="66"/>
      <c r="C572" s="46">
        <f t="shared" ca="1" si="61"/>
        <v>0</v>
      </c>
      <c r="D572" s="46">
        <f t="shared" ca="1" si="62"/>
        <v>860</v>
      </c>
      <c r="E572" s="74">
        <f t="shared" ca="1" si="63"/>
        <v>1</v>
      </c>
      <c r="F572">
        <f t="shared" ca="1" si="64"/>
        <v>1</v>
      </c>
      <c r="G572" s="76">
        <f t="shared" ca="1" si="65"/>
        <v>0</v>
      </c>
      <c r="H572" s="76">
        <f ca="1">SUM($G$4:G572)</f>
        <v>-25.155084302325577</v>
      </c>
      <c r="I572" s="76">
        <f t="shared" ca="1" si="66"/>
        <v>0</v>
      </c>
      <c r="J572" s="76">
        <f t="shared" ca="1" si="67"/>
        <v>0</v>
      </c>
    </row>
    <row r="573" spans="2:10" x14ac:dyDescent="0.2">
      <c r="B573" s="66"/>
      <c r="C573" s="46">
        <f t="shared" ca="1" si="61"/>
        <v>0</v>
      </c>
      <c r="D573" s="46">
        <f t="shared" ca="1" si="62"/>
        <v>860</v>
      </c>
      <c r="E573" s="74">
        <f t="shared" ca="1" si="63"/>
        <v>1</v>
      </c>
      <c r="F573">
        <f t="shared" ca="1" si="64"/>
        <v>1</v>
      </c>
      <c r="G573" s="76">
        <f t="shared" ca="1" si="65"/>
        <v>0</v>
      </c>
      <c r="H573" s="76">
        <f ca="1">SUM($G$4:G573)</f>
        <v>-25.155084302325577</v>
      </c>
      <c r="I573" s="76">
        <f t="shared" ca="1" si="66"/>
        <v>0</v>
      </c>
      <c r="J573" s="76">
        <f t="shared" ca="1" si="67"/>
        <v>0</v>
      </c>
    </row>
    <row r="574" spans="2:10" x14ac:dyDescent="0.2">
      <c r="B574" s="66"/>
      <c r="C574" s="46">
        <f t="shared" ca="1" si="61"/>
        <v>0</v>
      </c>
      <c r="D574" s="46">
        <f t="shared" ca="1" si="62"/>
        <v>860</v>
      </c>
      <c r="E574" s="74">
        <f t="shared" ca="1" si="63"/>
        <v>1</v>
      </c>
      <c r="F574">
        <f t="shared" ca="1" si="64"/>
        <v>1</v>
      </c>
      <c r="G574" s="76">
        <f t="shared" ca="1" si="65"/>
        <v>0</v>
      </c>
      <c r="H574" s="76">
        <f ca="1">SUM($G$4:G574)</f>
        <v>-25.155084302325577</v>
      </c>
      <c r="I574" s="76">
        <f t="shared" ca="1" si="66"/>
        <v>0</v>
      </c>
      <c r="J574" s="76">
        <f t="shared" ca="1" si="67"/>
        <v>0</v>
      </c>
    </row>
    <row r="575" spans="2:10" x14ac:dyDescent="0.2">
      <c r="B575" s="66"/>
      <c r="C575" s="46">
        <f t="shared" ca="1" si="61"/>
        <v>0</v>
      </c>
      <c r="D575" s="46">
        <f t="shared" ca="1" si="62"/>
        <v>860</v>
      </c>
      <c r="E575" s="74">
        <f t="shared" ca="1" si="63"/>
        <v>1</v>
      </c>
      <c r="F575">
        <f t="shared" ca="1" si="64"/>
        <v>1</v>
      </c>
      <c r="G575" s="76">
        <f t="shared" ca="1" si="65"/>
        <v>0</v>
      </c>
      <c r="H575" s="76">
        <f ca="1">SUM($G$4:G575)</f>
        <v>-25.155084302325577</v>
      </c>
      <c r="I575" s="76">
        <f t="shared" ca="1" si="66"/>
        <v>0</v>
      </c>
      <c r="J575" s="76">
        <f t="shared" ca="1" si="67"/>
        <v>0</v>
      </c>
    </row>
    <row r="576" spans="2:10" x14ac:dyDescent="0.2">
      <c r="B576" s="66"/>
      <c r="C576" s="46">
        <f t="shared" ca="1" si="61"/>
        <v>0</v>
      </c>
      <c r="D576" s="46">
        <f t="shared" ca="1" si="62"/>
        <v>860</v>
      </c>
      <c r="E576" s="74">
        <f t="shared" ca="1" si="63"/>
        <v>1</v>
      </c>
      <c r="F576">
        <f t="shared" ca="1" si="64"/>
        <v>1</v>
      </c>
      <c r="G576" s="76">
        <f t="shared" ca="1" si="65"/>
        <v>0</v>
      </c>
      <c r="H576" s="76">
        <f ca="1">SUM($G$4:G576)</f>
        <v>-25.155084302325577</v>
      </c>
      <c r="I576" s="76">
        <f t="shared" ca="1" si="66"/>
        <v>0</v>
      </c>
      <c r="J576" s="76">
        <f t="shared" ca="1" si="67"/>
        <v>0</v>
      </c>
    </row>
    <row r="577" spans="2:10" x14ac:dyDescent="0.2">
      <c r="B577" s="66"/>
      <c r="C577" s="46">
        <f t="shared" ca="1" si="61"/>
        <v>0</v>
      </c>
      <c r="D577" s="46">
        <f t="shared" ca="1" si="62"/>
        <v>860</v>
      </c>
      <c r="E577" s="74">
        <f t="shared" ca="1" si="63"/>
        <v>1</v>
      </c>
      <c r="F577">
        <f t="shared" ca="1" si="64"/>
        <v>1</v>
      </c>
      <c r="G577" s="76">
        <f t="shared" ca="1" si="65"/>
        <v>0</v>
      </c>
      <c r="H577" s="76">
        <f ca="1">SUM($G$4:G577)</f>
        <v>-25.155084302325577</v>
      </c>
      <c r="I577" s="76">
        <f t="shared" ca="1" si="66"/>
        <v>0</v>
      </c>
      <c r="J577" s="76">
        <f t="shared" ca="1" si="67"/>
        <v>0</v>
      </c>
    </row>
    <row r="578" spans="2:10" x14ac:dyDescent="0.2">
      <c r="B578" s="66"/>
      <c r="C578" s="46">
        <f t="shared" ca="1" si="61"/>
        <v>0</v>
      </c>
      <c r="D578" s="46">
        <f t="shared" ca="1" si="62"/>
        <v>860</v>
      </c>
      <c r="E578" s="74">
        <f t="shared" ca="1" si="63"/>
        <v>1</v>
      </c>
      <c r="F578">
        <f t="shared" ca="1" si="64"/>
        <v>1</v>
      </c>
      <c r="G578" s="76">
        <f t="shared" ca="1" si="65"/>
        <v>0</v>
      </c>
      <c r="H578" s="76">
        <f ca="1">SUM($G$4:G578)</f>
        <v>-25.155084302325577</v>
      </c>
      <c r="I578" s="76">
        <f t="shared" ca="1" si="66"/>
        <v>0</v>
      </c>
      <c r="J578" s="76">
        <f t="shared" ca="1" si="67"/>
        <v>0</v>
      </c>
    </row>
    <row r="579" spans="2:10" x14ac:dyDescent="0.2">
      <c r="B579" s="66"/>
      <c r="C579" s="46">
        <f t="shared" ca="1" si="61"/>
        <v>0</v>
      </c>
      <c r="D579" s="46">
        <f t="shared" ca="1" si="62"/>
        <v>860</v>
      </c>
      <c r="E579" s="74">
        <f t="shared" ca="1" si="63"/>
        <v>1</v>
      </c>
      <c r="F579">
        <f t="shared" ca="1" si="64"/>
        <v>1</v>
      </c>
      <c r="G579" s="76">
        <f t="shared" ca="1" si="65"/>
        <v>0</v>
      </c>
      <c r="H579" s="76">
        <f ca="1">SUM($G$4:G579)</f>
        <v>-25.155084302325577</v>
      </c>
      <c r="I579" s="76">
        <f t="shared" ca="1" si="66"/>
        <v>0</v>
      </c>
      <c r="J579" s="76">
        <f t="shared" ca="1" si="67"/>
        <v>0</v>
      </c>
    </row>
    <row r="580" spans="2:10" x14ac:dyDescent="0.2">
      <c r="B580" s="66"/>
      <c r="C580" s="46">
        <f t="shared" ref="C580:C643" ca="1" si="68">COUNTIF(RAW_DATA,B580)</f>
        <v>0</v>
      </c>
      <c r="D580" s="46">
        <f t="shared" ca="1" si="62"/>
        <v>860</v>
      </c>
      <c r="E580" s="74">
        <f t="shared" ca="1" si="63"/>
        <v>1</v>
      </c>
      <c r="F580">
        <f t="shared" ca="1" si="64"/>
        <v>1</v>
      </c>
      <c r="G580" s="76">
        <f t="shared" ca="1" si="65"/>
        <v>0</v>
      </c>
      <c r="H580" s="76">
        <f ca="1">SUM($G$4:G580)</f>
        <v>-25.155084302325577</v>
      </c>
      <c r="I580" s="76">
        <f t="shared" ca="1" si="66"/>
        <v>0</v>
      </c>
      <c r="J580" s="76">
        <f t="shared" ca="1" si="67"/>
        <v>0</v>
      </c>
    </row>
    <row r="581" spans="2:10" x14ac:dyDescent="0.2">
      <c r="B581" s="66"/>
      <c r="C581" s="46">
        <f t="shared" ca="1" si="68"/>
        <v>0</v>
      </c>
      <c r="D581" s="46">
        <f t="shared" ref="D581:D644" ca="1" si="69">COUNTIF(ALL_DATA,B581)+D580</f>
        <v>860</v>
      </c>
      <c r="E581" s="74">
        <f t="shared" ref="E581:E644" ca="1" si="70">1-C581/D581</f>
        <v>1</v>
      </c>
      <c r="F581">
        <f t="shared" ref="F581:F644" ca="1" si="71">PRODUCT(E582:E1432)</f>
        <v>1</v>
      </c>
      <c r="G581" s="76">
        <f t="shared" ref="G581:G644" ca="1" si="72">(B582-B581)*F581</f>
        <v>0</v>
      </c>
      <c r="H581" s="76">
        <f ca="1">SUM($G$4:G581)</f>
        <v>-25.155084302325577</v>
      </c>
      <c r="I581" s="76">
        <f t="shared" ca="1" si="66"/>
        <v>0</v>
      </c>
      <c r="J581" s="76">
        <f t="shared" ca="1" si="67"/>
        <v>0</v>
      </c>
    </row>
    <row r="582" spans="2:10" x14ac:dyDescent="0.2">
      <c r="B582" s="66"/>
      <c r="C582" s="46">
        <f t="shared" ca="1" si="68"/>
        <v>0</v>
      </c>
      <c r="D582" s="46">
        <f t="shared" ca="1" si="69"/>
        <v>860</v>
      </c>
      <c r="E582" s="74">
        <f t="shared" ca="1" si="70"/>
        <v>1</v>
      </c>
      <c r="F582">
        <f t="shared" ca="1" si="71"/>
        <v>1</v>
      </c>
      <c r="G582" s="76">
        <f t="shared" ca="1" si="72"/>
        <v>0</v>
      </c>
      <c r="H582" s="76">
        <f ca="1">SUM($G$4:G582)</f>
        <v>-25.155084302325577</v>
      </c>
      <c r="I582" s="76">
        <f t="shared" ref="I582:I645" ca="1" si="73">B582*(F582-F581)</f>
        <v>0</v>
      </c>
      <c r="J582" s="76">
        <f t="shared" ref="J582:J645" ca="1" si="74">POWER(B582-$M$3,2)*(F582-F581)</f>
        <v>0</v>
      </c>
    </row>
    <row r="583" spans="2:10" x14ac:dyDescent="0.2">
      <c r="B583" s="66"/>
      <c r="C583" s="46">
        <f t="shared" ca="1" si="68"/>
        <v>0</v>
      </c>
      <c r="D583" s="46">
        <f t="shared" ca="1" si="69"/>
        <v>860</v>
      </c>
      <c r="E583" s="74">
        <f t="shared" ca="1" si="70"/>
        <v>1</v>
      </c>
      <c r="F583">
        <f t="shared" ca="1" si="71"/>
        <v>1</v>
      </c>
      <c r="G583" s="76">
        <f t="shared" ca="1" si="72"/>
        <v>0</v>
      </c>
      <c r="H583" s="76">
        <f ca="1">SUM($G$4:G583)</f>
        <v>-25.155084302325577</v>
      </c>
      <c r="I583" s="76">
        <f t="shared" ca="1" si="73"/>
        <v>0</v>
      </c>
      <c r="J583" s="76">
        <f t="shared" ca="1" si="74"/>
        <v>0</v>
      </c>
    </row>
    <row r="584" spans="2:10" x14ac:dyDescent="0.2">
      <c r="B584" s="66"/>
      <c r="C584" s="46">
        <f t="shared" ca="1" si="68"/>
        <v>0</v>
      </c>
      <c r="D584" s="46">
        <f t="shared" ca="1" si="69"/>
        <v>860</v>
      </c>
      <c r="E584" s="74">
        <f t="shared" ca="1" si="70"/>
        <v>1</v>
      </c>
      <c r="F584">
        <f t="shared" ca="1" si="71"/>
        <v>1</v>
      </c>
      <c r="G584" s="76">
        <f t="shared" ca="1" si="72"/>
        <v>0</v>
      </c>
      <c r="H584" s="76">
        <f ca="1">SUM($G$4:G584)</f>
        <v>-25.155084302325577</v>
      </c>
      <c r="I584" s="76">
        <f t="shared" ca="1" si="73"/>
        <v>0</v>
      </c>
      <c r="J584" s="76">
        <f t="shared" ca="1" si="74"/>
        <v>0</v>
      </c>
    </row>
    <row r="585" spans="2:10" x14ac:dyDescent="0.2">
      <c r="B585" s="66"/>
      <c r="C585" s="46">
        <f t="shared" ca="1" si="68"/>
        <v>0</v>
      </c>
      <c r="D585" s="46">
        <f t="shared" ca="1" si="69"/>
        <v>860</v>
      </c>
      <c r="E585" s="74">
        <f t="shared" ca="1" si="70"/>
        <v>1</v>
      </c>
      <c r="F585">
        <f t="shared" ca="1" si="71"/>
        <v>1</v>
      </c>
      <c r="G585" s="76">
        <f t="shared" ca="1" si="72"/>
        <v>0</v>
      </c>
      <c r="H585" s="76">
        <f ca="1">SUM($G$4:G585)</f>
        <v>-25.155084302325577</v>
      </c>
      <c r="I585" s="76">
        <f t="shared" ca="1" si="73"/>
        <v>0</v>
      </c>
      <c r="J585" s="76">
        <f t="shared" ca="1" si="74"/>
        <v>0</v>
      </c>
    </row>
    <row r="586" spans="2:10" x14ac:dyDescent="0.2">
      <c r="B586" s="66"/>
      <c r="C586" s="46">
        <f t="shared" ca="1" si="68"/>
        <v>0</v>
      </c>
      <c r="D586" s="46">
        <f t="shared" ca="1" si="69"/>
        <v>860</v>
      </c>
      <c r="E586" s="74">
        <f t="shared" ca="1" si="70"/>
        <v>1</v>
      </c>
      <c r="F586">
        <f t="shared" ca="1" si="71"/>
        <v>1</v>
      </c>
      <c r="G586" s="76">
        <f t="shared" ca="1" si="72"/>
        <v>0</v>
      </c>
      <c r="H586" s="76">
        <f ca="1">SUM($G$4:G586)</f>
        <v>-25.155084302325577</v>
      </c>
      <c r="I586" s="76">
        <f t="shared" ca="1" si="73"/>
        <v>0</v>
      </c>
      <c r="J586" s="76">
        <f t="shared" ca="1" si="74"/>
        <v>0</v>
      </c>
    </row>
    <row r="587" spans="2:10" x14ac:dyDescent="0.2">
      <c r="B587" s="66"/>
      <c r="C587" s="46">
        <f t="shared" ca="1" si="68"/>
        <v>0</v>
      </c>
      <c r="D587" s="46">
        <f t="shared" ca="1" si="69"/>
        <v>860</v>
      </c>
      <c r="E587" s="74">
        <f t="shared" ca="1" si="70"/>
        <v>1</v>
      </c>
      <c r="F587">
        <f t="shared" ca="1" si="71"/>
        <v>1</v>
      </c>
      <c r="G587" s="76">
        <f t="shared" ca="1" si="72"/>
        <v>0</v>
      </c>
      <c r="H587" s="76">
        <f ca="1">SUM($G$4:G587)</f>
        <v>-25.155084302325577</v>
      </c>
      <c r="I587" s="76">
        <f t="shared" ca="1" si="73"/>
        <v>0</v>
      </c>
      <c r="J587" s="76">
        <f t="shared" ca="1" si="74"/>
        <v>0</v>
      </c>
    </row>
    <row r="588" spans="2:10" x14ac:dyDescent="0.2">
      <c r="B588" s="66"/>
      <c r="C588" s="46">
        <f t="shared" ca="1" si="68"/>
        <v>0</v>
      </c>
      <c r="D588" s="46">
        <f t="shared" ca="1" si="69"/>
        <v>860</v>
      </c>
      <c r="E588" s="74">
        <f t="shared" ca="1" si="70"/>
        <v>1</v>
      </c>
      <c r="F588">
        <f t="shared" ca="1" si="71"/>
        <v>1</v>
      </c>
      <c r="G588" s="76">
        <f t="shared" ca="1" si="72"/>
        <v>0</v>
      </c>
      <c r="H588" s="76">
        <f ca="1">SUM($G$4:G588)</f>
        <v>-25.155084302325577</v>
      </c>
      <c r="I588" s="76">
        <f t="shared" ca="1" si="73"/>
        <v>0</v>
      </c>
      <c r="J588" s="76">
        <f t="shared" ca="1" si="74"/>
        <v>0</v>
      </c>
    </row>
    <row r="589" spans="2:10" x14ac:dyDescent="0.2">
      <c r="B589" s="66"/>
      <c r="C589" s="46">
        <f t="shared" ca="1" si="68"/>
        <v>0</v>
      </c>
      <c r="D589" s="46">
        <f t="shared" ca="1" si="69"/>
        <v>860</v>
      </c>
      <c r="E589" s="74">
        <f t="shared" ca="1" si="70"/>
        <v>1</v>
      </c>
      <c r="F589">
        <f t="shared" ca="1" si="71"/>
        <v>1</v>
      </c>
      <c r="G589" s="76">
        <f t="shared" ca="1" si="72"/>
        <v>0</v>
      </c>
      <c r="H589" s="76">
        <f ca="1">SUM($G$4:G589)</f>
        <v>-25.155084302325577</v>
      </c>
      <c r="I589" s="76">
        <f t="shared" ca="1" si="73"/>
        <v>0</v>
      </c>
      <c r="J589" s="76">
        <f t="shared" ca="1" si="74"/>
        <v>0</v>
      </c>
    </row>
    <row r="590" spans="2:10" x14ac:dyDescent="0.2">
      <c r="B590" s="66"/>
      <c r="C590" s="46">
        <f t="shared" ca="1" si="68"/>
        <v>0</v>
      </c>
      <c r="D590" s="46">
        <f t="shared" ca="1" si="69"/>
        <v>860</v>
      </c>
      <c r="E590" s="74">
        <f t="shared" ca="1" si="70"/>
        <v>1</v>
      </c>
      <c r="F590">
        <f t="shared" ca="1" si="71"/>
        <v>1</v>
      </c>
      <c r="G590" s="76">
        <f t="shared" ca="1" si="72"/>
        <v>0</v>
      </c>
      <c r="H590" s="76">
        <f ca="1">SUM($G$4:G590)</f>
        <v>-25.155084302325577</v>
      </c>
      <c r="I590" s="76">
        <f t="shared" ca="1" si="73"/>
        <v>0</v>
      </c>
      <c r="J590" s="76">
        <f t="shared" ca="1" si="74"/>
        <v>0</v>
      </c>
    </row>
    <row r="591" spans="2:10" x14ac:dyDescent="0.2">
      <c r="B591" s="66"/>
      <c r="C591" s="46">
        <f t="shared" ca="1" si="68"/>
        <v>0</v>
      </c>
      <c r="D591" s="46">
        <f t="shared" ca="1" si="69"/>
        <v>860</v>
      </c>
      <c r="E591" s="74">
        <f t="shared" ca="1" si="70"/>
        <v>1</v>
      </c>
      <c r="F591">
        <f t="shared" ca="1" si="71"/>
        <v>1</v>
      </c>
      <c r="G591" s="76">
        <f t="shared" ca="1" si="72"/>
        <v>0</v>
      </c>
      <c r="H591" s="76">
        <f ca="1">SUM($G$4:G591)</f>
        <v>-25.155084302325577</v>
      </c>
      <c r="I591" s="76">
        <f t="shared" ca="1" si="73"/>
        <v>0</v>
      </c>
      <c r="J591" s="76">
        <f t="shared" ca="1" si="74"/>
        <v>0</v>
      </c>
    </row>
    <row r="592" spans="2:10" x14ac:dyDescent="0.2">
      <c r="B592" s="66"/>
      <c r="C592" s="46">
        <f t="shared" ca="1" si="68"/>
        <v>0</v>
      </c>
      <c r="D592" s="46">
        <f t="shared" ca="1" si="69"/>
        <v>860</v>
      </c>
      <c r="E592" s="74">
        <f t="shared" ca="1" si="70"/>
        <v>1</v>
      </c>
      <c r="F592">
        <f t="shared" ca="1" si="71"/>
        <v>1</v>
      </c>
      <c r="G592" s="76">
        <f t="shared" ca="1" si="72"/>
        <v>0</v>
      </c>
      <c r="H592" s="76">
        <f ca="1">SUM($G$4:G592)</f>
        <v>-25.155084302325577</v>
      </c>
      <c r="I592" s="76">
        <f t="shared" ca="1" si="73"/>
        <v>0</v>
      </c>
      <c r="J592" s="76">
        <f t="shared" ca="1" si="74"/>
        <v>0</v>
      </c>
    </row>
    <row r="593" spans="2:10" x14ac:dyDescent="0.2">
      <c r="B593" s="66"/>
      <c r="C593" s="46">
        <f t="shared" ca="1" si="68"/>
        <v>0</v>
      </c>
      <c r="D593" s="46">
        <f t="shared" ca="1" si="69"/>
        <v>860</v>
      </c>
      <c r="E593" s="74">
        <f t="shared" ca="1" si="70"/>
        <v>1</v>
      </c>
      <c r="F593">
        <f t="shared" ca="1" si="71"/>
        <v>1</v>
      </c>
      <c r="G593" s="76">
        <f t="shared" ca="1" si="72"/>
        <v>0</v>
      </c>
      <c r="H593" s="76">
        <f ca="1">SUM($G$4:G593)</f>
        <v>-25.155084302325577</v>
      </c>
      <c r="I593" s="76">
        <f t="shared" ca="1" si="73"/>
        <v>0</v>
      </c>
      <c r="J593" s="76">
        <f t="shared" ca="1" si="74"/>
        <v>0</v>
      </c>
    </row>
    <row r="594" spans="2:10" x14ac:dyDescent="0.2">
      <c r="B594" s="66"/>
      <c r="C594" s="46">
        <f t="shared" ca="1" si="68"/>
        <v>0</v>
      </c>
      <c r="D594" s="46">
        <f t="shared" ca="1" si="69"/>
        <v>860</v>
      </c>
      <c r="E594" s="74">
        <f t="shared" ca="1" si="70"/>
        <v>1</v>
      </c>
      <c r="F594">
        <f t="shared" ca="1" si="71"/>
        <v>1</v>
      </c>
      <c r="G594" s="76">
        <f t="shared" ca="1" si="72"/>
        <v>0</v>
      </c>
      <c r="H594" s="76">
        <f ca="1">SUM($G$4:G594)</f>
        <v>-25.155084302325577</v>
      </c>
      <c r="I594" s="76">
        <f t="shared" ca="1" si="73"/>
        <v>0</v>
      </c>
      <c r="J594" s="76">
        <f t="shared" ca="1" si="74"/>
        <v>0</v>
      </c>
    </row>
    <row r="595" spans="2:10" x14ac:dyDescent="0.2">
      <c r="B595" s="66"/>
      <c r="C595" s="46">
        <f t="shared" ca="1" si="68"/>
        <v>0</v>
      </c>
      <c r="D595" s="46">
        <f t="shared" ca="1" si="69"/>
        <v>860</v>
      </c>
      <c r="E595" s="74">
        <f t="shared" ca="1" si="70"/>
        <v>1</v>
      </c>
      <c r="F595">
        <f t="shared" ca="1" si="71"/>
        <v>1</v>
      </c>
      <c r="G595" s="76">
        <f t="shared" ca="1" si="72"/>
        <v>0</v>
      </c>
      <c r="H595" s="76">
        <f ca="1">SUM($G$4:G595)</f>
        <v>-25.155084302325577</v>
      </c>
      <c r="I595" s="76">
        <f t="shared" ca="1" si="73"/>
        <v>0</v>
      </c>
      <c r="J595" s="76">
        <f t="shared" ca="1" si="74"/>
        <v>0</v>
      </c>
    </row>
    <row r="596" spans="2:10" x14ac:dyDescent="0.2">
      <c r="B596" s="66"/>
      <c r="C596" s="46">
        <f t="shared" ca="1" si="68"/>
        <v>0</v>
      </c>
      <c r="D596" s="46">
        <f t="shared" ca="1" si="69"/>
        <v>860</v>
      </c>
      <c r="E596" s="74">
        <f t="shared" ca="1" si="70"/>
        <v>1</v>
      </c>
      <c r="F596">
        <f t="shared" ca="1" si="71"/>
        <v>1</v>
      </c>
      <c r="G596" s="76">
        <f t="shared" ca="1" si="72"/>
        <v>0</v>
      </c>
      <c r="H596" s="76">
        <f ca="1">SUM($G$4:G596)</f>
        <v>-25.155084302325577</v>
      </c>
      <c r="I596" s="76">
        <f t="shared" ca="1" si="73"/>
        <v>0</v>
      </c>
      <c r="J596" s="76">
        <f t="shared" ca="1" si="74"/>
        <v>0</v>
      </c>
    </row>
    <row r="597" spans="2:10" x14ac:dyDescent="0.2">
      <c r="B597" s="66"/>
      <c r="C597" s="46">
        <f t="shared" ca="1" si="68"/>
        <v>0</v>
      </c>
      <c r="D597" s="46">
        <f t="shared" ca="1" si="69"/>
        <v>860</v>
      </c>
      <c r="E597" s="74">
        <f t="shared" ca="1" si="70"/>
        <v>1</v>
      </c>
      <c r="F597">
        <f t="shared" ca="1" si="71"/>
        <v>1</v>
      </c>
      <c r="G597" s="76">
        <f t="shared" ca="1" si="72"/>
        <v>0</v>
      </c>
      <c r="H597" s="76">
        <f ca="1">SUM($G$4:G597)</f>
        <v>-25.155084302325577</v>
      </c>
      <c r="I597" s="76">
        <f t="shared" ca="1" si="73"/>
        <v>0</v>
      </c>
      <c r="J597" s="76">
        <f t="shared" ca="1" si="74"/>
        <v>0</v>
      </c>
    </row>
    <row r="598" spans="2:10" x14ac:dyDescent="0.2">
      <c r="B598" s="66"/>
      <c r="C598" s="46">
        <f t="shared" ca="1" si="68"/>
        <v>0</v>
      </c>
      <c r="D598" s="46">
        <f t="shared" ca="1" si="69"/>
        <v>860</v>
      </c>
      <c r="E598" s="74">
        <f t="shared" ca="1" si="70"/>
        <v>1</v>
      </c>
      <c r="F598">
        <f t="shared" ca="1" si="71"/>
        <v>1</v>
      </c>
      <c r="G598" s="76">
        <f t="shared" ca="1" si="72"/>
        <v>0</v>
      </c>
      <c r="H598" s="76">
        <f ca="1">SUM($G$4:G598)</f>
        <v>-25.155084302325577</v>
      </c>
      <c r="I598" s="76">
        <f t="shared" ca="1" si="73"/>
        <v>0</v>
      </c>
      <c r="J598" s="76">
        <f t="shared" ca="1" si="74"/>
        <v>0</v>
      </c>
    </row>
    <row r="599" spans="2:10" x14ac:dyDescent="0.2">
      <c r="B599" s="66"/>
      <c r="C599" s="46">
        <f t="shared" ca="1" si="68"/>
        <v>0</v>
      </c>
      <c r="D599" s="46">
        <f t="shared" ca="1" si="69"/>
        <v>860</v>
      </c>
      <c r="E599" s="74">
        <f t="shared" ca="1" si="70"/>
        <v>1</v>
      </c>
      <c r="F599">
        <f t="shared" ca="1" si="71"/>
        <v>1</v>
      </c>
      <c r="G599" s="76">
        <f t="shared" ca="1" si="72"/>
        <v>0</v>
      </c>
      <c r="H599" s="76">
        <f ca="1">SUM($G$4:G599)</f>
        <v>-25.155084302325577</v>
      </c>
      <c r="I599" s="76">
        <f t="shared" ca="1" si="73"/>
        <v>0</v>
      </c>
      <c r="J599" s="76">
        <f t="shared" ca="1" si="74"/>
        <v>0</v>
      </c>
    </row>
    <row r="600" spans="2:10" x14ac:dyDescent="0.2">
      <c r="B600" s="66"/>
      <c r="C600" s="46">
        <f t="shared" ca="1" si="68"/>
        <v>0</v>
      </c>
      <c r="D600" s="46">
        <f t="shared" ca="1" si="69"/>
        <v>860</v>
      </c>
      <c r="E600" s="74">
        <f t="shared" ca="1" si="70"/>
        <v>1</v>
      </c>
      <c r="F600">
        <f t="shared" ca="1" si="71"/>
        <v>1</v>
      </c>
      <c r="G600" s="76">
        <f t="shared" ca="1" si="72"/>
        <v>0</v>
      </c>
      <c r="H600" s="76">
        <f ca="1">SUM($G$4:G600)</f>
        <v>-25.155084302325577</v>
      </c>
      <c r="I600" s="76">
        <f t="shared" ca="1" si="73"/>
        <v>0</v>
      </c>
      <c r="J600" s="76">
        <f t="shared" ca="1" si="74"/>
        <v>0</v>
      </c>
    </row>
    <row r="601" spans="2:10" x14ac:dyDescent="0.2">
      <c r="B601" s="66"/>
      <c r="C601" s="46">
        <f t="shared" ca="1" si="68"/>
        <v>0</v>
      </c>
      <c r="D601" s="46">
        <f t="shared" ca="1" si="69"/>
        <v>860</v>
      </c>
      <c r="E601" s="74">
        <f t="shared" ca="1" si="70"/>
        <v>1</v>
      </c>
      <c r="F601">
        <f t="shared" ca="1" si="71"/>
        <v>1</v>
      </c>
      <c r="G601" s="76">
        <f t="shared" ca="1" si="72"/>
        <v>0</v>
      </c>
      <c r="H601" s="76">
        <f ca="1">SUM($G$4:G601)</f>
        <v>-25.155084302325577</v>
      </c>
      <c r="I601" s="76">
        <f t="shared" ca="1" si="73"/>
        <v>0</v>
      </c>
      <c r="J601" s="76">
        <f t="shared" ca="1" si="74"/>
        <v>0</v>
      </c>
    </row>
    <row r="602" spans="2:10" x14ac:dyDescent="0.2">
      <c r="B602" s="66"/>
      <c r="C602" s="46">
        <f t="shared" ca="1" si="68"/>
        <v>0</v>
      </c>
      <c r="D602" s="46">
        <f t="shared" ca="1" si="69"/>
        <v>860</v>
      </c>
      <c r="E602" s="74">
        <f t="shared" ca="1" si="70"/>
        <v>1</v>
      </c>
      <c r="F602">
        <f t="shared" ca="1" si="71"/>
        <v>1</v>
      </c>
      <c r="G602" s="76">
        <f t="shared" ca="1" si="72"/>
        <v>0</v>
      </c>
      <c r="H602" s="76">
        <f ca="1">SUM($G$4:G602)</f>
        <v>-25.155084302325577</v>
      </c>
      <c r="I602" s="76">
        <f t="shared" ca="1" si="73"/>
        <v>0</v>
      </c>
      <c r="J602" s="76">
        <f t="shared" ca="1" si="74"/>
        <v>0</v>
      </c>
    </row>
    <row r="603" spans="2:10" x14ac:dyDescent="0.2">
      <c r="B603" s="66"/>
      <c r="C603" s="46">
        <f t="shared" ca="1" si="68"/>
        <v>0</v>
      </c>
      <c r="D603" s="46">
        <f t="shared" ca="1" si="69"/>
        <v>860</v>
      </c>
      <c r="E603" s="74">
        <f t="shared" ca="1" si="70"/>
        <v>1</v>
      </c>
      <c r="F603">
        <f t="shared" ca="1" si="71"/>
        <v>1</v>
      </c>
      <c r="G603" s="76">
        <f t="shared" ca="1" si="72"/>
        <v>0</v>
      </c>
      <c r="H603" s="76">
        <f ca="1">SUM($G$4:G603)</f>
        <v>-25.155084302325577</v>
      </c>
      <c r="I603" s="76">
        <f t="shared" ca="1" si="73"/>
        <v>0</v>
      </c>
      <c r="J603" s="76">
        <f t="shared" ca="1" si="74"/>
        <v>0</v>
      </c>
    </row>
    <row r="604" spans="2:10" x14ac:dyDescent="0.2">
      <c r="B604" s="66"/>
      <c r="C604" s="46">
        <f t="shared" ca="1" si="68"/>
        <v>0</v>
      </c>
      <c r="D604" s="46">
        <f t="shared" ca="1" si="69"/>
        <v>860</v>
      </c>
      <c r="E604" s="74">
        <f t="shared" ca="1" si="70"/>
        <v>1</v>
      </c>
      <c r="F604">
        <f t="shared" ca="1" si="71"/>
        <v>1</v>
      </c>
      <c r="G604" s="76">
        <f t="shared" ca="1" si="72"/>
        <v>0</v>
      </c>
      <c r="H604" s="76">
        <f ca="1">SUM($G$4:G604)</f>
        <v>-25.155084302325577</v>
      </c>
      <c r="I604" s="76">
        <f t="shared" ca="1" si="73"/>
        <v>0</v>
      </c>
      <c r="J604" s="76">
        <f t="shared" ca="1" si="74"/>
        <v>0</v>
      </c>
    </row>
    <row r="605" spans="2:10" x14ac:dyDescent="0.2">
      <c r="B605" s="66"/>
      <c r="C605" s="46">
        <f t="shared" ca="1" si="68"/>
        <v>0</v>
      </c>
      <c r="D605" s="46">
        <f t="shared" ca="1" si="69"/>
        <v>860</v>
      </c>
      <c r="E605" s="74">
        <f t="shared" ca="1" si="70"/>
        <v>1</v>
      </c>
      <c r="F605">
        <f t="shared" ca="1" si="71"/>
        <v>1</v>
      </c>
      <c r="G605" s="76">
        <f t="shared" ca="1" si="72"/>
        <v>0</v>
      </c>
      <c r="H605" s="76">
        <f ca="1">SUM($G$4:G605)</f>
        <v>-25.155084302325577</v>
      </c>
      <c r="I605" s="76">
        <f t="shared" ca="1" si="73"/>
        <v>0</v>
      </c>
      <c r="J605" s="76">
        <f t="shared" ca="1" si="74"/>
        <v>0</v>
      </c>
    </row>
    <row r="606" spans="2:10" x14ac:dyDescent="0.2">
      <c r="B606" s="66"/>
      <c r="C606" s="46">
        <f t="shared" ca="1" si="68"/>
        <v>0</v>
      </c>
      <c r="D606" s="46">
        <f t="shared" ca="1" si="69"/>
        <v>860</v>
      </c>
      <c r="E606" s="74">
        <f t="shared" ca="1" si="70"/>
        <v>1</v>
      </c>
      <c r="F606">
        <f t="shared" ca="1" si="71"/>
        <v>1</v>
      </c>
      <c r="G606" s="76">
        <f t="shared" ca="1" si="72"/>
        <v>0</v>
      </c>
      <c r="H606" s="76">
        <f ca="1">SUM($G$4:G606)</f>
        <v>-25.155084302325577</v>
      </c>
      <c r="I606" s="76">
        <f t="shared" ca="1" si="73"/>
        <v>0</v>
      </c>
      <c r="J606" s="76">
        <f t="shared" ca="1" si="74"/>
        <v>0</v>
      </c>
    </row>
    <row r="607" spans="2:10" x14ac:dyDescent="0.2">
      <c r="B607" s="66"/>
      <c r="C607" s="46">
        <f t="shared" ca="1" si="68"/>
        <v>0</v>
      </c>
      <c r="D607" s="46">
        <f t="shared" ca="1" si="69"/>
        <v>860</v>
      </c>
      <c r="E607" s="74">
        <f t="shared" ca="1" si="70"/>
        <v>1</v>
      </c>
      <c r="F607">
        <f t="shared" ca="1" si="71"/>
        <v>1</v>
      </c>
      <c r="G607" s="76">
        <f t="shared" ca="1" si="72"/>
        <v>0</v>
      </c>
      <c r="H607" s="76">
        <f ca="1">SUM($G$4:G607)</f>
        <v>-25.155084302325577</v>
      </c>
      <c r="I607" s="76">
        <f t="shared" ca="1" si="73"/>
        <v>0</v>
      </c>
      <c r="J607" s="76">
        <f t="shared" ca="1" si="74"/>
        <v>0</v>
      </c>
    </row>
    <row r="608" spans="2:10" x14ac:dyDescent="0.2">
      <c r="B608" s="66"/>
      <c r="C608" s="46">
        <f t="shared" ca="1" si="68"/>
        <v>0</v>
      </c>
      <c r="D608" s="46">
        <f t="shared" ca="1" si="69"/>
        <v>860</v>
      </c>
      <c r="E608" s="74">
        <f t="shared" ca="1" si="70"/>
        <v>1</v>
      </c>
      <c r="F608">
        <f t="shared" ca="1" si="71"/>
        <v>1</v>
      </c>
      <c r="G608" s="76">
        <f t="shared" ca="1" si="72"/>
        <v>0</v>
      </c>
      <c r="H608" s="76">
        <f ca="1">SUM($G$4:G608)</f>
        <v>-25.155084302325577</v>
      </c>
      <c r="I608" s="76">
        <f t="shared" ca="1" si="73"/>
        <v>0</v>
      </c>
      <c r="J608" s="76">
        <f t="shared" ca="1" si="74"/>
        <v>0</v>
      </c>
    </row>
    <row r="609" spans="2:10" x14ac:dyDescent="0.2">
      <c r="B609" s="66"/>
      <c r="C609" s="46">
        <f t="shared" ca="1" si="68"/>
        <v>0</v>
      </c>
      <c r="D609" s="46">
        <f t="shared" ca="1" si="69"/>
        <v>860</v>
      </c>
      <c r="E609" s="74">
        <f t="shared" ca="1" si="70"/>
        <v>1</v>
      </c>
      <c r="F609">
        <f t="shared" ca="1" si="71"/>
        <v>1</v>
      </c>
      <c r="G609" s="76">
        <f t="shared" ca="1" si="72"/>
        <v>0</v>
      </c>
      <c r="H609" s="76">
        <f ca="1">SUM($G$4:G609)</f>
        <v>-25.155084302325577</v>
      </c>
      <c r="I609" s="76">
        <f t="shared" ca="1" si="73"/>
        <v>0</v>
      </c>
      <c r="J609" s="76">
        <f t="shared" ca="1" si="74"/>
        <v>0</v>
      </c>
    </row>
    <row r="610" spans="2:10" x14ac:dyDescent="0.2">
      <c r="B610" s="66"/>
      <c r="C610" s="46">
        <f t="shared" ca="1" si="68"/>
        <v>0</v>
      </c>
      <c r="D610" s="46">
        <f t="shared" ca="1" si="69"/>
        <v>860</v>
      </c>
      <c r="E610" s="74">
        <f t="shared" ca="1" si="70"/>
        <v>1</v>
      </c>
      <c r="F610">
        <f t="shared" ca="1" si="71"/>
        <v>1</v>
      </c>
      <c r="G610" s="76">
        <f t="shared" ca="1" si="72"/>
        <v>0</v>
      </c>
      <c r="H610" s="76">
        <f ca="1">SUM($G$4:G610)</f>
        <v>-25.155084302325577</v>
      </c>
      <c r="I610" s="76">
        <f t="shared" ca="1" si="73"/>
        <v>0</v>
      </c>
      <c r="J610" s="76">
        <f t="shared" ca="1" si="74"/>
        <v>0</v>
      </c>
    </row>
    <row r="611" spans="2:10" x14ac:dyDescent="0.2">
      <c r="B611" s="66"/>
      <c r="C611" s="46">
        <f t="shared" ca="1" si="68"/>
        <v>0</v>
      </c>
      <c r="D611" s="46">
        <f t="shared" ca="1" si="69"/>
        <v>860</v>
      </c>
      <c r="E611" s="74">
        <f t="shared" ca="1" si="70"/>
        <v>1</v>
      </c>
      <c r="F611">
        <f t="shared" ca="1" si="71"/>
        <v>1</v>
      </c>
      <c r="G611" s="76">
        <f t="shared" ca="1" si="72"/>
        <v>0</v>
      </c>
      <c r="H611" s="76">
        <f ca="1">SUM($G$4:G611)</f>
        <v>-25.155084302325577</v>
      </c>
      <c r="I611" s="76">
        <f t="shared" ca="1" si="73"/>
        <v>0</v>
      </c>
      <c r="J611" s="76">
        <f t="shared" ca="1" si="74"/>
        <v>0</v>
      </c>
    </row>
    <row r="612" spans="2:10" x14ac:dyDescent="0.2">
      <c r="B612" s="66"/>
      <c r="C612" s="46">
        <f t="shared" ca="1" si="68"/>
        <v>0</v>
      </c>
      <c r="D612" s="46">
        <f t="shared" ca="1" si="69"/>
        <v>860</v>
      </c>
      <c r="E612" s="74">
        <f t="shared" ca="1" si="70"/>
        <v>1</v>
      </c>
      <c r="F612">
        <f t="shared" ca="1" si="71"/>
        <v>1</v>
      </c>
      <c r="G612" s="76">
        <f t="shared" ca="1" si="72"/>
        <v>0</v>
      </c>
      <c r="H612" s="76">
        <f ca="1">SUM($G$4:G612)</f>
        <v>-25.155084302325577</v>
      </c>
      <c r="I612" s="76">
        <f t="shared" ca="1" si="73"/>
        <v>0</v>
      </c>
      <c r="J612" s="76">
        <f t="shared" ca="1" si="74"/>
        <v>0</v>
      </c>
    </row>
    <row r="613" spans="2:10" x14ac:dyDescent="0.2">
      <c r="B613" s="66"/>
      <c r="C613" s="46">
        <f t="shared" ca="1" si="68"/>
        <v>0</v>
      </c>
      <c r="D613" s="46">
        <f t="shared" ca="1" si="69"/>
        <v>860</v>
      </c>
      <c r="E613" s="74">
        <f t="shared" ca="1" si="70"/>
        <v>1</v>
      </c>
      <c r="F613">
        <f t="shared" ca="1" si="71"/>
        <v>1</v>
      </c>
      <c r="G613" s="76">
        <f t="shared" ca="1" si="72"/>
        <v>0</v>
      </c>
      <c r="H613" s="76">
        <f ca="1">SUM($G$4:G613)</f>
        <v>-25.155084302325577</v>
      </c>
      <c r="I613" s="76">
        <f t="shared" ca="1" si="73"/>
        <v>0</v>
      </c>
      <c r="J613" s="76">
        <f t="shared" ca="1" si="74"/>
        <v>0</v>
      </c>
    </row>
    <row r="614" spans="2:10" x14ac:dyDescent="0.2">
      <c r="B614" s="66"/>
      <c r="C614" s="46">
        <f t="shared" ca="1" si="68"/>
        <v>0</v>
      </c>
      <c r="D614" s="46">
        <f t="shared" ca="1" si="69"/>
        <v>860</v>
      </c>
      <c r="E614" s="74">
        <f t="shared" ca="1" si="70"/>
        <v>1</v>
      </c>
      <c r="F614">
        <f t="shared" ca="1" si="71"/>
        <v>1</v>
      </c>
      <c r="G614" s="76">
        <f t="shared" ca="1" si="72"/>
        <v>0</v>
      </c>
      <c r="H614" s="76">
        <f ca="1">SUM($G$4:G614)</f>
        <v>-25.155084302325577</v>
      </c>
      <c r="I614" s="76">
        <f t="shared" ca="1" si="73"/>
        <v>0</v>
      </c>
      <c r="J614" s="76">
        <f t="shared" ca="1" si="74"/>
        <v>0</v>
      </c>
    </row>
    <row r="615" spans="2:10" x14ac:dyDescent="0.2">
      <c r="B615" s="66"/>
      <c r="C615" s="46">
        <f t="shared" ca="1" si="68"/>
        <v>0</v>
      </c>
      <c r="D615" s="46">
        <f t="shared" ca="1" si="69"/>
        <v>860</v>
      </c>
      <c r="E615" s="74">
        <f t="shared" ca="1" si="70"/>
        <v>1</v>
      </c>
      <c r="F615">
        <f t="shared" ca="1" si="71"/>
        <v>1</v>
      </c>
      <c r="G615" s="76">
        <f t="shared" ca="1" si="72"/>
        <v>0</v>
      </c>
      <c r="H615" s="76">
        <f ca="1">SUM($G$4:G615)</f>
        <v>-25.155084302325577</v>
      </c>
      <c r="I615" s="76">
        <f t="shared" ca="1" si="73"/>
        <v>0</v>
      </c>
      <c r="J615" s="76">
        <f t="shared" ca="1" si="74"/>
        <v>0</v>
      </c>
    </row>
    <row r="616" spans="2:10" x14ac:dyDescent="0.2">
      <c r="B616" s="66"/>
      <c r="C616" s="46">
        <f t="shared" ca="1" si="68"/>
        <v>0</v>
      </c>
      <c r="D616" s="46">
        <f t="shared" ca="1" si="69"/>
        <v>860</v>
      </c>
      <c r="E616" s="74">
        <f t="shared" ca="1" si="70"/>
        <v>1</v>
      </c>
      <c r="F616">
        <f t="shared" ca="1" si="71"/>
        <v>1</v>
      </c>
      <c r="G616" s="76">
        <f t="shared" ca="1" si="72"/>
        <v>0</v>
      </c>
      <c r="H616" s="76">
        <f ca="1">SUM($G$4:G616)</f>
        <v>-25.155084302325577</v>
      </c>
      <c r="I616" s="76">
        <f t="shared" ca="1" si="73"/>
        <v>0</v>
      </c>
      <c r="J616" s="76">
        <f t="shared" ca="1" si="74"/>
        <v>0</v>
      </c>
    </row>
    <row r="617" spans="2:10" x14ac:dyDescent="0.2">
      <c r="B617" s="66"/>
      <c r="C617" s="46">
        <f t="shared" ca="1" si="68"/>
        <v>0</v>
      </c>
      <c r="D617" s="46">
        <f t="shared" ca="1" si="69"/>
        <v>860</v>
      </c>
      <c r="E617" s="74">
        <f t="shared" ca="1" si="70"/>
        <v>1</v>
      </c>
      <c r="F617">
        <f t="shared" ca="1" si="71"/>
        <v>1</v>
      </c>
      <c r="G617" s="76">
        <f t="shared" ca="1" si="72"/>
        <v>0</v>
      </c>
      <c r="H617" s="76">
        <f ca="1">SUM($G$4:G617)</f>
        <v>-25.155084302325577</v>
      </c>
      <c r="I617" s="76">
        <f t="shared" ca="1" si="73"/>
        <v>0</v>
      </c>
      <c r="J617" s="76">
        <f t="shared" ca="1" si="74"/>
        <v>0</v>
      </c>
    </row>
    <row r="618" spans="2:10" x14ac:dyDescent="0.2">
      <c r="B618" s="66"/>
      <c r="C618" s="46">
        <f t="shared" ca="1" si="68"/>
        <v>0</v>
      </c>
      <c r="D618" s="46">
        <f t="shared" ca="1" si="69"/>
        <v>860</v>
      </c>
      <c r="E618" s="74">
        <f t="shared" ca="1" si="70"/>
        <v>1</v>
      </c>
      <c r="F618">
        <f t="shared" ca="1" si="71"/>
        <v>1</v>
      </c>
      <c r="G618" s="76">
        <f t="shared" ca="1" si="72"/>
        <v>0</v>
      </c>
      <c r="H618" s="76">
        <f ca="1">SUM($G$4:G618)</f>
        <v>-25.155084302325577</v>
      </c>
      <c r="I618" s="76">
        <f t="shared" ca="1" si="73"/>
        <v>0</v>
      </c>
      <c r="J618" s="76">
        <f t="shared" ca="1" si="74"/>
        <v>0</v>
      </c>
    </row>
    <row r="619" spans="2:10" x14ac:dyDescent="0.2">
      <c r="B619" s="66"/>
      <c r="C619" s="46">
        <f t="shared" ca="1" si="68"/>
        <v>0</v>
      </c>
      <c r="D619" s="46">
        <f t="shared" ca="1" si="69"/>
        <v>860</v>
      </c>
      <c r="E619" s="74">
        <f t="shared" ca="1" si="70"/>
        <v>1</v>
      </c>
      <c r="F619">
        <f t="shared" ca="1" si="71"/>
        <v>1</v>
      </c>
      <c r="G619" s="76">
        <f t="shared" ca="1" si="72"/>
        <v>0</v>
      </c>
      <c r="H619" s="76">
        <f ca="1">SUM($G$4:G619)</f>
        <v>-25.155084302325577</v>
      </c>
      <c r="I619" s="76">
        <f t="shared" ca="1" si="73"/>
        <v>0</v>
      </c>
      <c r="J619" s="76">
        <f t="shared" ca="1" si="74"/>
        <v>0</v>
      </c>
    </row>
    <row r="620" spans="2:10" x14ac:dyDescent="0.2">
      <c r="B620" s="66"/>
      <c r="C620" s="46">
        <f t="shared" ca="1" si="68"/>
        <v>0</v>
      </c>
      <c r="D620" s="46">
        <f t="shared" ca="1" si="69"/>
        <v>860</v>
      </c>
      <c r="E620" s="74">
        <f t="shared" ca="1" si="70"/>
        <v>1</v>
      </c>
      <c r="F620">
        <f t="shared" ca="1" si="71"/>
        <v>1</v>
      </c>
      <c r="G620" s="76">
        <f t="shared" ca="1" si="72"/>
        <v>0</v>
      </c>
      <c r="H620" s="76">
        <f ca="1">SUM($G$4:G620)</f>
        <v>-25.155084302325577</v>
      </c>
      <c r="I620" s="76">
        <f t="shared" ca="1" si="73"/>
        <v>0</v>
      </c>
      <c r="J620" s="76">
        <f t="shared" ca="1" si="74"/>
        <v>0</v>
      </c>
    </row>
    <row r="621" spans="2:10" x14ac:dyDescent="0.2">
      <c r="B621" s="66"/>
      <c r="C621" s="46">
        <f t="shared" ca="1" si="68"/>
        <v>0</v>
      </c>
      <c r="D621" s="46">
        <f t="shared" ca="1" si="69"/>
        <v>860</v>
      </c>
      <c r="E621" s="74">
        <f t="shared" ca="1" si="70"/>
        <v>1</v>
      </c>
      <c r="F621">
        <f t="shared" ca="1" si="71"/>
        <v>1</v>
      </c>
      <c r="G621" s="76">
        <f t="shared" ca="1" si="72"/>
        <v>0</v>
      </c>
      <c r="H621" s="76">
        <f ca="1">SUM($G$4:G621)</f>
        <v>-25.155084302325577</v>
      </c>
      <c r="I621" s="76">
        <f t="shared" ca="1" si="73"/>
        <v>0</v>
      </c>
      <c r="J621" s="76">
        <f t="shared" ca="1" si="74"/>
        <v>0</v>
      </c>
    </row>
    <row r="622" spans="2:10" x14ac:dyDescent="0.2">
      <c r="B622" s="66"/>
      <c r="C622" s="46">
        <f t="shared" ca="1" si="68"/>
        <v>0</v>
      </c>
      <c r="D622" s="46">
        <f t="shared" ca="1" si="69"/>
        <v>860</v>
      </c>
      <c r="E622" s="74">
        <f t="shared" ca="1" si="70"/>
        <v>1</v>
      </c>
      <c r="F622">
        <f t="shared" ca="1" si="71"/>
        <v>1</v>
      </c>
      <c r="G622" s="76">
        <f t="shared" ca="1" si="72"/>
        <v>0</v>
      </c>
      <c r="H622" s="76">
        <f ca="1">SUM($G$4:G622)</f>
        <v>-25.155084302325577</v>
      </c>
      <c r="I622" s="76">
        <f t="shared" ca="1" si="73"/>
        <v>0</v>
      </c>
      <c r="J622" s="76">
        <f t="shared" ca="1" si="74"/>
        <v>0</v>
      </c>
    </row>
    <row r="623" spans="2:10" x14ac:dyDescent="0.2">
      <c r="B623" s="66"/>
      <c r="C623" s="46">
        <f t="shared" ca="1" si="68"/>
        <v>0</v>
      </c>
      <c r="D623" s="46">
        <f t="shared" ca="1" si="69"/>
        <v>860</v>
      </c>
      <c r="E623" s="74">
        <f t="shared" ca="1" si="70"/>
        <v>1</v>
      </c>
      <c r="F623">
        <f t="shared" ca="1" si="71"/>
        <v>1</v>
      </c>
      <c r="G623" s="76">
        <f t="shared" ca="1" si="72"/>
        <v>0</v>
      </c>
      <c r="H623" s="76">
        <f ca="1">SUM($G$4:G623)</f>
        <v>-25.155084302325577</v>
      </c>
      <c r="I623" s="76">
        <f t="shared" ca="1" si="73"/>
        <v>0</v>
      </c>
      <c r="J623" s="76">
        <f t="shared" ca="1" si="74"/>
        <v>0</v>
      </c>
    </row>
    <row r="624" spans="2:10" x14ac:dyDescent="0.2">
      <c r="B624" s="66"/>
      <c r="C624" s="46">
        <f t="shared" ca="1" si="68"/>
        <v>0</v>
      </c>
      <c r="D624" s="46">
        <f t="shared" ca="1" si="69"/>
        <v>860</v>
      </c>
      <c r="E624" s="74">
        <f t="shared" ca="1" si="70"/>
        <v>1</v>
      </c>
      <c r="F624">
        <f t="shared" ca="1" si="71"/>
        <v>1</v>
      </c>
      <c r="G624" s="76">
        <f t="shared" ca="1" si="72"/>
        <v>0</v>
      </c>
      <c r="H624" s="76">
        <f ca="1">SUM($G$4:G624)</f>
        <v>-25.155084302325577</v>
      </c>
      <c r="I624" s="76">
        <f t="shared" ca="1" si="73"/>
        <v>0</v>
      </c>
      <c r="J624" s="76">
        <f t="shared" ca="1" si="74"/>
        <v>0</v>
      </c>
    </row>
    <row r="625" spans="2:10" x14ac:dyDescent="0.2">
      <c r="B625" s="66"/>
      <c r="C625" s="46">
        <f t="shared" ca="1" si="68"/>
        <v>0</v>
      </c>
      <c r="D625" s="46">
        <f t="shared" ca="1" si="69"/>
        <v>860</v>
      </c>
      <c r="E625" s="74">
        <f t="shared" ca="1" si="70"/>
        <v>1</v>
      </c>
      <c r="F625">
        <f t="shared" ca="1" si="71"/>
        <v>1</v>
      </c>
      <c r="G625" s="76">
        <f t="shared" ca="1" si="72"/>
        <v>0</v>
      </c>
      <c r="H625" s="76">
        <f ca="1">SUM($G$4:G625)</f>
        <v>-25.155084302325577</v>
      </c>
      <c r="I625" s="76">
        <f t="shared" ca="1" si="73"/>
        <v>0</v>
      </c>
      <c r="J625" s="76">
        <f t="shared" ca="1" si="74"/>
        <v>0</v>
      </c>
    </row>
    <row r="626" spans="2:10" x14ac:dyDescent="0.2">
      <c r="B626" s="66"/>
      <c r="C626" s="46">
        <f t="shared" ca="1" si="68"/>
        <v>0</v>
      </c>
      <c r="D626" s="46">
        <f t="shared" ca="1" si="69"/>
        <v>860</v>
      </c>
      <c r="E626" s="74">
        <f t="shared" ca="1" si="70"/>
        <v>1</v>
      </c>
      <c r="F626">
        <f t="shared" ca="1" si="71"/>
        <v>1</v>
      </c>
      <c r="G626" s="76">
        <f t="shared" ca="1" si="72"/>
        <v>0</v>
      </c>
      <c r="H626" s="76">
        <f ca="1">SUM($G$4:G626)</f>
        <v>-25.155084302325577</v>
      </c>
      <c r="I626" s="76">
        <f t="shared" ca="1" si="73"/>
        <v>0</v>
      </c>
      <c r="J626" s="76">
        <f t="shared" ca="1" si="74"/>
        <v>0</v>
      </c>
    </row>
    <row r="627" spans="2:10" x14ac:dyDescent="0.2">
      <c r="B627" s="66"/>
      <c r="C627" s="46">
        <f t="shared" ca="1" si="68"/>
        <v>0</v>
      </c>
      <c r="D627" s="46">
        <f t="shared" ca="1" si="69"/>
        <v>860</v>
      </c>
      <c r="E627" s="74">
        <f t="shared" ca="1" si="70"/>
        <v>1</v>
      </c>
      <c r="F627">
        <f t="shared" ca="1" si="71"/>
        <v>1</v>
      </c>
      <c r="G627" s="76">
        <f t="shared" ca="1" si="72"/>
        <v>0</v>
      </c>
      <c r="H627" s="76">
        <f ca="1">SUM($G$4:G627)</f>
        <v>-25.155084302325577</v>
      </c>
      <c r="I627" s="76">
        <f t="shared" ca="1" si="73"/>
        <v>0</v>
      </c>
      <c r="J627" s="76">
        <f t="shared" ca="1" si="74"/>
        <v>0</v>
      </c>
    </row>
    <row r="628" spans="2:10" x14ac:dyDescent="0.2">
      <c r="B628" s="66"/>
      <c r="C628" s="46">
        <f t="shared" ca="1" si="68"/>
        <v>0</v>
      </c>
      <c r="D628" s="46">
        <f t="shared" ca="1" si="69"/>
        <v>860</v>
      </c>
      <c r="E628" s="74">
        <f t="shared" ca="1" si="70"/>
        <v>1</v>
      </c>
      <c r="F628">
        <f t="shared" ca="1" si="71"/>
        <v>1</v>
      </c>
      <c r="G628" s="76">
        <f t="shared" ca="1" si="72"/>
        <v>0</v>
      </c>
      <c r="H628" s="76">
        <f ca="1">SUM($G$4:G628)</f>
        <v>-25.155084302325577</v>
      </c>
      <c r="I628" s="76">
        <f t="shared" ca="1" si="73"/>
        <v>0</v>
      </c>
      <c r="J628" s="76">
        <f t="shared" ca="1" si="74"/>
        <v>0</v>
      </c>
    </row>
    <row r="629" spans="2:10" x14ac:dyDescent="0.2">
      <c r="B629" s="66"/>
      <c r="C629" s="46">
        <f t="shared" ca="1" si="68"/>
        <v>0</v>
      </c>
      <c r="D629" s="46">
        <f t="shared" ca="1" si="69"/>
        <v>860</v>
      </c>
      <c r="E629" s="74">
        <f t="shared" ca="1" si="70"/>
        <v>1</v>
      </c>
      <c r="F629">
        <f t="shared" ca="1" si="71"/>
        <v>1</v>
      </c>
      <c r="G629" s="76">
        <f t="shared" ca="1" si="72"/>
        <v>0</v>
      </c>
      <c r="H629" s="76">
        <f ca="1">SUM($G$4:G629)</f>
        <v>-25.155084302325577</v>
      </c>
      <c r="I629" s="76">
        <f t="shared" ca="1" si="73"/>
        <v>0</v>
      </c>
      <c r="J629" s="76">
        <f t="shared" ca="1" si="74"/>
        <v>0</v>
      </c>
    </row>
    <row r="630" spans="2:10" x14ac:dyDescent="0.2">
      <c r="B630" s="66"/>
      <c r="C630" s="46">
        <f t="shared" ca="1" si="68"/>
        <v>0</v>
      </c>
      <c r="D630" s="46">
        <f t="shared" ca="1" si="69"/>
        <v>860</v>
      </c>
      <c r="E630" s="74">
        <f t="shared" ca="1" si="70"/>
        <v>1</v>
      </c>
      <c r="F630">
        <f t="shared" ca="1" si="71"/>
        <v>1</v>
      </c>
      <c r="G630" s="76">
        <f t="shared" ca="1" si="72"/>
        <v>0</v>
      </c>
      <c r="H630" s="76">
        <f ca="1">SUM($G$4:G630)</f>
        <v>-25.155084302325577</v>
      </c>
      <c r="I630" s="76">
        <f t="shared" ca="1" si="73"/>
        <v>0</v>
      </c>
      <c r="J630" s="76">
        <f t="shared" ca="1" si="74"/>
        <v>0</v>
      </c>
    </row>
    <row r="631" spans="2:10" x14ac:dyDescent="0.2">
      <c r="B631" s="66"/>
      <c r="C631" s="46">
        <f t="shared" ca="1" si="68"/>
        <v>0</v>
      </c>
      <c r="D631" s="46">
        <f t="shared" ca="1" si="69"/>
        <v>860</v>
      </c>
      <c r="E631" s="74">
        <f t="shared" ca="1" si="70"/>
        <v>1</v>
      </c>
      <c r="F631">
        <f t="shared" ca="1" si="71"/>
        <v>1</v>
      </c>
      <c r="G631" s="76">
        <f t="shared" ca="1" si="72"/>
        <v>0</v>
      </c>
      <c r="H631" s="76">
        <f ca="1">SUM($G$4:G631)</f>
        <v>-25.155084302325577</v>
      </c>
      <c r="I631" s="76">
        <f t="shared" ca="1" si="73"/>
        <v>0</v>
      </c>
      <c r="J631" s="76">
        <f t="shared" ca="1" si="74"/>
        <v>0</v>
      </c>
    </row>
    <row r="632" spans="2:10" x14ac:dyDescent="0.2">
      <c r="B632" s="66"/>
      <c r="C632" s="46">
        <f t="shared" ca="1" si="68"/>
        <v>0</v>
      </c>
      <c r="D632" s="46">
        <f t="shared" ca="1" si="69"/>
        <v>860</v>
      </c>
      <c r="E632" s="74">
        <f t="shared" ca="1" si="70"/>
        <v>1</v>
      </c>
      <c r="F632">
        <f t="shared" ca="1" si="71"/>
        <v>1</v>
      </c>
      <c r="G632" s="76">
        <f t="shared" ca="1" si="72"/>
        <v>0</v>
      </c>
      <c r="H632" s="76">
        <f ca="1">SUM($G$4:G632)</f>
        <v>-25.155084302325577</v>
      </c>
      <c r="I632" s="76">
        <f t="shared" ca="1" si="73"/>
        <v>0</v>
      </c>
      <c r="J632" s="76">
        <f t="shared" ca="1" si="74"/>
        <v>0</v>
      </c>
    </row>
    <row r="633" spans="2:10" x14ac:dyDescent="0.2">
      <c r="B633" s="66"/>
      <c r="C633" s="46">
        <f t="shared" ca="1" si="68"/>
        <v>0</v>
      </c>
      <c r="D633" s="46">
        <f t="shared" ca="1" si="69"/>
        <v>860</v>
      </c>
      <c r="E633" s="74">
        <f t="shared" ca="1" si="70"/>
        <v>1</v>
      </c>
      <c r="F633">
        <f t="shared" ca="1" si="71"/>
        <v>1</v>
      </c>
      <c r="G633" s="76">
        <f t="shared" ca="1" si="72"/>
        <v>0</v>
      </c>
      <c r="H633" s="76">
        <f ca="1">SUM($G$4:G633)</f>
        <v>-25.155084302325577</v>
      </c>
      <c r="I633" s="76">
        <f t="shared" ca="1" si="73"/>
        <v>0</v>
      </c>
      <c r="J633" s="76">
        <f t="shared" ca="1" si="74"/>
        <v>0</v>
      </c>
    </row>
    <row r="634" spans="2:10" x14ac:dyDescent="0.2">
      <c r="B634" s="66"/>
      <c r="C634" s="46">
        <f t="shared" ca="1" si="68"/>
        <v>0</v>
      </c>
      <c r="D634" s="46">
        <f t="shared" ca="1" si="69"/>
        <v>860</v>
      </c>
      <c r="E634" s="74">
        <f t="shared" ca="1" si="70"/>
        <v>1</v>
      </c>
      <c r="F634">
        <f t="shared" ca="1" si="71"/>
        <v>1</v>
      </c>
      <c r="G634" s="76">
        <f t="shared" ca="1" si="72"/>
        <v>0</v>
      </c>
      <c r="H634" s="76">
        <f ca="1">SUM($G$4:G634)</f>
        <v>-25.155084302325577</v>
      </c>
      <c r="I634" s="76">
        <f t="shared" ca="1" si="73"/>
        <v>0</v>
      </c>
      <c r="J634" s="76">
        <f t="shared" ca="1" si="74"/>
        <v>0</v>
      </c>
    </row>
    <row r="635" spans="2:10" x14ac:dyDescent="0.2">
      <c r="B635" s="66"/>
      <c r="C635" s="46">
        <f t="shared" ca="1" si="68"/>
        <v>0</v>
      </c>
      <c r="D635" s="46">
        <f t="shared" ca="1" si="69"/>
        <v>860</v>
      </c>
      <c r="E635" s="74">
        <f t="shared" ca="1" si="70"/>
        <v>1</v>
      </c>
      <c r="F635">
        <f t="shared" ca="1" si="71"/>
        <v>1</v>
      </c>
      <c r="G635" s="76">
        <f t="shared" ca="1" si="72"/>
        <v>0</v>
      </c>
      <c r="H635" s="76">
        <f ca="1">SUM($G$4:G635)</f>
        <v>-25.155084302325577</v>
      </c>
      <c r="I635" s="76">
        <f t="shared" ca="1" si="73"/>
        <v>0</v>
      </c>
      <c r="J635" s="76">
        <f t="shared" ca="1" si="74"/>
        <v>0</v>
      </c>
    </row>
    <row r="636" spans="2:10" x14ac:dyDescent="0.2">
      <c r="B636" s="66"/>
      <c r="C636" s="46">
        <f t="shared" ca="1" si="68"/>
        <v>0</v>
      </c>
      <c r="D636" s="46">
        <f t="shared" ca="1" si="69"/>
        <v>860</v>
      </c>
      <c r="E636" s="74">
        <f t="shared" ca="1" si="70"/>
        <v>1</v>
      </c>
      <c r="F636">
        <f t="shared" ca="1" si="71"/>
        <v>1</v>
      </c>
      <c r="G636" s="76">
        <f t="shared" ca="1" si="72"/>
        <v>0</v>
      </c>
      <c r="H636" s="76">
        <f ca="1">SUM($G$4:G636)</f>
        <v>-25.155084302325577</v>
      </c>
      <c r="I636" s="76">
        <f t="shared" ca="1" si="73"/>
        <v>0</v>
      </c>
      <c r="J636" s="76">
        <f t="shared" ca="1" si="74"/>
        <v>0</v>
      </c>
    </row>
    <row r="637" spans="2:10" x14ac:dyDescent="0.2">
      <c r="B637" s="66"/>
      <c r="C637" s="46">
        <f t="shared" ca="1" si="68"/>
        <v>0</v>
      </c>
      <c r="D637" s="46">
        <f t="shared" ca="1" si="69"/>
        <v>860</v>
      </c>
      <c r="E637" s="74">
        <f t="shared" ca="1" si="70"/>
        <v>1</v>
      </c>
      <c r="F637">
        <f t="shared" ca="1" si="71"/>
        <v>1</v>
      </c>
      <c r="G637" s="76">
        <f t="shared" ca="1" si="72"/>
        <v>0</v>
      </c>
      <c r="H637" s="76">
        <f ca="1">SUM($G$4:G637)</f>
        <v>-25.155084302325577</v>
      </c>
      <c r="I637" s="76">
        <f t="shared" ca="1" si="73"/>
        <v>0</v>
      </c>
      <c r="J637" s="76">
        <f t="shared" ca="1" si="74"/>
        <v>0</v>
      </c>
    </row>
    <row r="638" spans="2:10" x14ac:dyDescent="0.2">
      <c r="B638" s="66"/>
      <c r="C638" s="46">
        <f t="shared" ca="1" si="68"/>
        <v>0</v>
      </c>
      <c r="D638" s="46">
        <f t="shared" ca="1" si="69"/>
        <v>860</v>
      </c>
      <c r="E638" s="74">
        <f t="shared" ca="1" si="70"/>
        <v>1</v>
      </c>
      <c r="F638">
        <f t="shared" ca="1" si="71"/>
        <v>1</v>
      </c>
      <c r="G638" s="76">
        <f t="shared" ca="1" si="72"/>
        <v>0</v>
      </c>
      <c r="H638" s="76">
        <f ca="1">SUM($G$4:G638)</f>
        <v>-25.155084302325577</v>
      </c>
      <c r="I638" s="76">
        <f t="shared" ca="1" si="73"/>
        <v>0</v>
      </c>
      <c r="J638" s="76">
        <f t="shared" ca="1" si="74"/>
        <v>0</v>
      </c>
    </row>
    <row r="639" spans="2:10" x14ac:dyDescent="0.2">
      <c r="B639" s="66"/>
      <c r="C639" s="46">
        <f t="shared" ca="1" si="68"/>
        <v>0</v>
      </c>
      <c r="D639" s="46">
        <f t="shared" ca="1" si="69"/>
        <v>860</v>
      </c>
      <c r="E639" s="74">
        <f t="shared" ca="1" si="70"/>
        <v>1</v>
      </c>
      <c r="F639">
        <f t="shared" ca="1" si="71"/>
        <v>1</v>
      </c>
      <c r="G639" s="76">
        <f t="shared" ca="1" si="72"/>
        <v>0</v>
      </c>
      <c r="H639" s="76">
        <f ca="1">SUM($G$4:G639)</f>
        <v>-25.155084302325577</v>
      </c>
      <c r="I639" s="76">
        <f t="shared" ca="1" si="73"/>
        <v>0</v>
      </c>
      <c r="J639" s="76">
        <f t="shared" ca="1" si="74"/>
        <v>0</v>
      </c>
    </row>
    <row r="640" spans="2:10" x14ac:dyDescent="0.2">
      <c r="B640" s="66"/>
      <c r="C640" s="46">
        <f t="shared" ca="1" si="68"/>
        <v>0</v>
      </c>
      <c r="D640" s="46">
        <f t="shared" ca="1" si="69"/>
        <v>860</v>
      </c>
      <c r="E640" s="74">
        <f t="shared" ca="1" si="70"/>
        <v>1</v>
      </c>
      <c r="F640">
        <f t="shared" ca="1" si="71"/>
        <v>1</v>
      </c>
      <c r="G640" s="76">
        <f t="shared" ca="1" si="72"/>
        <v>0</v>
      </c>
      <c r="H640" s="76">
        <f ca="1">SUM($G$4:G640)</f>
        <v>-25.155084302325577</v>
      </c>
      <c r="I640" s="76">
        <f t="shared" ca="1" si="73"/>
        <v>0</v>
      </c>
      <c r="J640" s="76">
        <f t="shared" ca="1" si="74"/>
        <v>0</v>
      </c>
    </row>
    <row r="641" spans="2:10" x14ac:dyDescent="0.2">
      <c r="B641" s="66"/>
      <c r="C641" s="46">
        <f t="shared" ca="1" si="68"/>
        <v>0</v>
      </c>
      <c r="D641" s="46">
        <f t="shared" ca="1" si="69"/>
        <v>860</v>
      </c>
      <c r="E641" s="74">
        <f t="shared" ca="1" si="70"/>
        <v>1</v>
      </c>
      <c r="F641">
        <f t="shared" ca="1" si="71"/>
        <v>1</v>
      </c>
      <c r="G641" s="76">
        <f t="shared" ca="1" si="72"/>
        <v>0</v>
      </c>
      <c r="H641" s="76">
        <f ca="1">SUM($G$4:G641)</f>
        <v>-25.155084302325577</v>
      </c>
      <c r="I641" s="76">
        <f t="shared" ca="1" si="73"/>
        <v>0</v>
      </c>
      <c r="J641" s="76">
        <f t="shared" ca="1" si="74"/>
        <v>0</v>
      </c>
    </row>
    <row r="642" spans="2:10" x14ac:dyDescent="0.2">
      <c r="B642" s="66"/>
      <c r="C642" s="46">
        <f t="shared" ca="1" si="68"/>
        <v>0</v>
      </c>
      <c r="D642" s="46">
        <f t="shared" ca="1" si="69"/>
        <v>860</v>
      </c>
      <c r="E642" s="74">
        <f t="shared" ca="1" si="70"/>
        <v>1</v>
      </c>
      <c r="F642">
        <f t="shared" ca="1" si="71"/>
        <v>1</v>
      </c>
      <c r="G642" s="76">
        <f t="shared" ca="1" si="72"/>
        <v>0</v>
      </c>
      <c r="H642" s="76">
        <f ca="1">SUM($G$4:G642)</f>
        <v>-25.155084302325577</v>
      </c>
      <c r="I642" s="76">
        <f t="shared" ca="1" si="73"/>
        <v>0</v>
      </c>
      <c r="J642" s="76">
        <f t="shared" ca="1" si="74"/>
        <v>0</v>
      </c>
    </row>
    <row r="643" spans="2:10" x14ac:dyDescent="0.2">
      <c r="B643" s="66"/>
      <c r="C643" s="46">
        <f t="shared" ca="1" si="68"/>
        <v>0</v>
      </c>
      <c r="D643" s="46">
        <f t="shared" ca="1" si="69"/>
        <v>860</v>
      </c>
      <c r="E643" s="74">
        <f t="shared" ca="1" si="70"/>
        <v>1</v>
      </c>
      <c r="F643">
        <f t="shared" ca="1" si="71"/>
        <v>1</v>
      </c>
      <c r="G643" s="76">
        <f t="shared" ca="1" si="72"/>
        <v>0</v>
      </c>
      <c r="H643" s="76">
        <f ca="1">SUM($G$4:G643)</f>
        <v>-25.155084302325577</v>
      </c>
      <c r="I643" s="76">
        <f t="shared" ca="1" si="73"/>
        <v>0</v>
      </c>
      <c r="J643" s="76">
        <f t="shared" ca="1" si="74"/>
        <v>0</v>
      </c>
    </row>
    <row r="644" spans="2:10" x14ac:dyDescent="0.2">
      <c r="B644" s="66"/>
      <c r="C644" s="46">
        <f t="shared" ref="C644:C707" ca="1" si="75">COUNTIF(RAW_DATA,B644)</f>
        <v>0</v>
      </c>
      <c r="D644" s="46">
        <f t="shared" ca="1" si="69"/>
        <v>860</v>
      </c>
      <c r="E644" s="74">
        <f t="shared" ca="1" si="70"/>
        <v>1</v>
      </c>
      <c r="F644">
        <f t="shared" ca="1" si="71"/>
        <v>1</v>
      </c>
      <c r="G644" s="76">
        <f t="shared" ca="1" si="72"/>
        <v>0</v>
      </c>
      <c r="H644" s="76">
        <f ca="1">SUM($G$4:G644)</f>
        <v>-25.155084302325577</v>
      </c>
      <c r="I644" s="76">
        <f t="shared" ca="1" si="73"/>
        <v>0</v>
      </c>
      <c r="J644" s="76">
        <f t="shared" ca="1" si="74"/>
        <v>0</v>
      </c>
    </row>
    <row r="645" spans="2:10" x14ac:dyDescent="0.2">
      <c r="B645" s="66"/>
      <c r="C645" s="46">
        <f t="shared" ca="1" si="75"/>
        <v>0</v>
      </c>
      <c r="D645" s="46">
        <f t="shared" ref="D645:D708" ca="1" si="76">COUNTIF(ALL_DATA,B645)+D644</f>
        <v>860</v>
      </c>
      <c r="E645" s="74">
        <f t="shared" ref="E645:E708" ca="1" si="77">1-C645/D645</f>
        <v>1</v>
      </c>
      <c r="F645">
        <f t="shared" ref="F645:F708" ca="1" si="78">PRODUCT(E646:E1496)</f>
        <v>1</v>
      </c>
      <c r="G645" s="76">
        <f t="shared" ref="G645:G708" ca="1" si="79">(B646-B645)*F645</f>
        <v>0</v>
      </c>
      <c r="H645" s="76">
        <f ca="1">SUM($G$4:G645)</f>
        <v>-25.155084302325577</v>
      </c>
      <c r="I645" s="76">
        <f t="shared" ca="1" si="73"/>
        <v>0</v>
      </c>
      <c r="J645" s="76">
        <f t="shared" ca="1" si="74"/>
        <v>0</v>
      </c>
    </row>
    <row r="646" spans="2:10" x14ac:dyDescent="0.2">
      <c r="B646" s="66"/>
      <c r="C646" s="46">
        <f t="shared" ca="1" si="75"/>
        <v>0</v>
      </c>
      <c r="D646" s="46">
        <f t="shared" ca="1" si="76"/>
        <v>860</v>
      </c>
      <c r="E646" s="74">
        <f t="shared" ca="1" si="77"/>
        <v>1</v>
      </c>
      <c r="F646">
        <f t="shared" ca="1" si="78"/>
        <v>1</v>
      </c>
      <c r="G646" s="76">
        <f t="shared" ca="1" si="79"/>
        <v>0</v>
      </c>
      <c r="H646" s="76">
        <f ca="1">SUM($G$4:G646)</f>
        <v>-25.155084302325577</v>
      </c>
      <c r="I646" s="76">
        <f t="shared" ref="I646:I709" ca="1" si="80">B646*(F646-F645)</f>
        <v>0</v>
      </c>
      <c r="J646" s="76">
        <f t="shared" ref="J646:J709" ca="1" si="81">POWER(B646-$M$3,2)*(F646-F645)</f>
        <v>0</v>
      </c>
    </row>
    <row r="647" spans="2:10" x14ac:dyDescent="0.2">
      <c r="B647" s="66"/>
      <c r="C647" s="46">
        <f t="shared" ca="1" si="75"/>
        <v>0</v>
      </c>
      <c r="D647" s="46">
        <f t="shared" ca="1" si="76"/>
        <v>860</v>
      </c>
      <c r="E647" s="74">
        <f t="shared" ca="1" si="77"/>
        <v>1</v>
      </c>
      <c r="F647">
        <f t="shared" ca="1" si="78"/>
        <v>1</v>
      </c>
      <c r="G647" s="76">
        <f t="shared" ca="1" si="79"/>
        <v>0</v>
      </c>
      <c r="H647" s="76">
        <f ca="1">SUM($G$4:G647)</f>
        <v>-25.155084302325577</v>
      </c>
      <c r="I647" s="76">
        <f t="shared" ca="1" si="80"/>
        <v>0</v>
      </c>
      <c r="J647" s="76">
        <f t="shared" ca="1" si="81"/>
        <v>0</v>
      </c>
    </row>
    <row r="648" spans="2:10" x14ac:dyDescent="0.2">
      <c r="B648" s="66"/>
      <c r="C648" s="46">
        <f t="shared" ca="1" si="75"/>
        <v>0</v>
      </c>
      <c r="D648" s="46">
        <f t="shared" ca="1" si="76"/>
        <v>860</v>
      </c>
      <c r="E648" s="74">
        <f t="shared" ca="1" si="77"/>
        <v>1</v>
      </c>
      <c r="F648">
        <f t="shared" ca="1" si="78"/>
        <v>1</v>
      </c>
      <c r="G648" s="76">
        <f t="shared" ca="1" si="79"/>
        <v>0</v>
      </c>
      <c r="H648" s="76">
        <f ca="1">SUM($G$4:G648)</f>
        <v>-25.155084302325577</v>
      </c>
      <c r="I648" s="76">
        <f t="shared" ca="1" si="80"/>
        <v>0</v>
      </c>
      <c r="J648" s="76">
        <f t="shared" ca="1" si="81"/>
        <v>0</v>
      </c>
    </row>
    <row r="649" spans="2:10" x14ac:dyDescent="0.2">
      <c r="B649" s="66"/>
      <c r="C649" s="46">
        <f t="shared" ca="1" si="75"/>
        <v>0</v>
      </c>
      <c r="D649" s="46">
        <f t="shared" ca="1" si="76"/>
        <v>860</v>
      </c>
      <c r="E649" s="74">
        <f t="shared" ca="1" si="77"/>
        <v>1</v>
      </c>
      <c r="F649">
        <f t="shared" ca="1" si="78"/>
        <v>1</v>
      </c>
      <c r="G649" s="76">
        <f t="shared" ca="1" si="79"/>
        <v>0</v>
      </c>
      <c r="H649" s="76">
        <f ca="1">SUM($G$4:G649)</f>
        <v>-25.155084302325577</v>
      </c>
      <c r="I649" s="76">
        <f t="shared" ca="1" si="80"/>
        <v>0</v>
      </c>
      <c r="J649" s="76">
        <f t="shared" ca="1" si="81"/>
        <v>0</v>
      </c>
    </row>
    <row r="650" spans="2:10" x14ac:dyDescent="0.2">
      <c r="B650" s="66"/>
      <c r="C650" s="46">
        <f t="shared" ca="1" si="75"/>
        <v>0</v>
      </c>
      <c r="D650" s="46">
        <f t="shared" ca="1" si="76"/>
        <v>860</v>
      </c>
      <c r="E650" s="74">
        <f t="shared" ca="1" si="77"/>
        <v>1</v>
      </c>
      <c r="F650">
        <f t="shared" ca="1" si="78"/>
        <v>1</v>
      </c>
      <c r="G650" s="76">
        <f t="shared" ca="1" si="79"/>
        <v>0</v>
      </c>
      <c r="H650" s="76">
        <f ca="1">SUM($G$4:G650)</f>
        <v>-25.155084302325577</v>
      </c>
      <c r="I650" s="76">
        <f t="shared" ca="1" si="80"/>
        <v>0</v>
      </c>
      <c r="J650" s="76">
        <f t="shared" ca="1" si="81"/>
        <v>0</v>
      </c>
    </row>
    <row r="651" spans="2:10" x14ac:dyDescent="0.2">
      <c r="B651" s="66"/>
      <c r="C651" s="46">
        <f t="shared" ca="1" si="75"/>
        <v>0</v>
      </c>
      <c r="D651" s="46">
        <f t="shared" ca="1" si="76"/>
        <v>860</v>
      </c>
      <c r="E651" s="74">
        <f t="shared" ca="1" si="77"/>
        <v>1</v>
      </c>
      <c r="F651">
        <f t="shared" ca="1" si="78"/>
        <v>1</v>
      </c>
      <c r="G651" s="76">
        <f t="shared" ca="1" si="79"/>
        <v>0</v>
      </c>
      <c r="H651" s="76">
        <f ca="1">SUM($G$4:G651)</f>
        <v>-25.155084302325577</v>
      </c>
      <c r="I651" s="76">
        <f t="shared" ca="1" si="80"/>
        <v>0</v>
      </c>
      <c r="J651" s="76">
        <f t="shared" ca="1" si="81"/>
        <v>0</v>
      </c>
    </row>
    <row r="652" spans="2:10" x14ac:dyDescent="0.2">
      <c r="B652" s="66"/>
      <c r="C652" s="46">
        <f t="shared" ca="1" si="75"/>
        <v>0</v>
      </c>
      <c r="D652" s="46">
        <f t="shared" ca="1" si="76"/>
        <v>860</v>
      </c>
      <c r="E652" s="74">
        <f t="shared" ca="1" si="77"/>
        <v>1</v>
      </c>
      <c r="F652">
        <f t="shared" ca="1" si="78"/>
        <v>1</v>
      </c>
      <c r="G652" s="76">
        <f t="shared" ca="1" si="79"/>
        <v>0</v>
      </c>
      <c r="H652" s="76">
        <f ca="1">SUM($G$4:G652)</f>
        <v>-25.155084302325577</v>
      </c>
      <c r="I652" s="76">
        <f t="shared" ca="1" si="80"/>
        <v>0</v>
      </c>
      <c r="J652" s="76">
        <f t="shared" ca="1" si="81"/>
        <v>0</v>
      </c>
    </row>
    <row r="653" spans="2:10" x14ac:dyDescent="0.2">
      <c r="B653" s="66"/>
      <c r="C653" s="46">
        <f t="shared" ca="1" si="75"/>
        <v>0</v>
      </c>
      <c r="D653" s="46">
        <f t="shared" ca="1" si="76"/>
        <v>860</v>
      </c>
      <c r="E653" s="74">
        <f t="shared" ca="1" si="77"/>
        <v>1</v>
      </c>
      <c r="F653">
        <f t="shared" ca="1" si="78"/>
        <v>1</v>
      </c>
      <c r="G653" s="76">
        <f t="shared" ca="1" si="79"/>
        <v>0</v>
      </c>
      <c r="H653" s="76">
        <f ca="1">SUM($G$4:G653)</f>
        <v>-25.155084302325577</v>
      </c>
      <c r="I653" s="76">
        <f t="shared" ca="1" si="80"/>
        <v>0</v>
      </c>
      <c r="J653" s="76">
        <f t="shared" ca="1" si="81"/>
        <v>0</v>
      </c>
    </row>
    <row r="654" spans="2:10" x14ac:dyDescent="0.2">
      <c r="B654" s="66"/>
      <c r="C654" s="46">
        <f t="shared" ca="1" si="75"/>
        <v>0</v>
      </c>
      <c r="D654" s="46">
        <f t="shared" ca="1" si="76"/>
        <v>860</v>
      </c>
      <c r="E654" s="74">
        <f t="shared" ca="1" si="77"/>
        <v>1</v>
      </c>
      <c r="F654">
        <f t="shared" ca="1" si="78"/>
        <v>1</v>
      </c>
      <c r="G654" s="76">
        <f t="shared" ca="1" si="79"/>
        <v>0</v>
      </c>
      <c r="H654" s="76">
        <f ca="1">SUM($G$4:G654)</f>
        <v>-25.155084302325577</v>
      </c>
      <c r="I654" s="76">
        <f t="shared" ca="1" si="80"/>
        <v>0</v>
      </c>
      <c r="J654" s="76">
        <f t="shared" ca="1" si="81"/>
        <v>0</v>
      </c>
    </row>
    <row r="655" spans="2:10" x14ac:dyDescent="0.2">
      <c r="B655" s="66"/>
      <c r="C655" s="46">
        <f t="shared" ca="1" si="75"/>
        <v>0</v>
      </c>
      <c r="D655" s="46">
        <f t="shared" ca="1" si="76"/>
        <v>860</v>
      </c>
      <c r="E655" s="74">
        <f t="shared" ca="1" si="77"/>
        <v>1</v>
      </c>
      <c r="F655">
        <f t="shared" ca="1" si="78"/>
        <v>1</v>
      </c>
      <c r="G655" s="76">
        <f t="shared" ca="1" si="79"/>
        <v>0</v>
      </c>
      <c r="H655" s="76">
        <f ca="1">SUM($G$4:G655)</f>
        <v>-25.155084302325577</v>
      </c>
      <c r="I655" s="76">
        <f t="shared" ca="1" si="80"/>
        <v>0</v>
      </c>
      <c r="J655" s="76">
        <f t="shared" ca="1" si="81"/>
        <v>0</v>
      </c>
    </row>
    <row r="656" spans="2:10" x14ac:dyDescent="0.2">
      <c r="B656" s="66"/>
      <c r="C656" s="46">
        <f t="shared" ca="1" si="75"/>
        <v>0</v>
      </c>
      <c r="D656" s="46">
        <f t="shared" ca="1" si="76"/>
        <v>860</v>
      </c>
      <c r="E656" s="74">
        <f t="shared" ca="1" si="77"/>
        <v>1</v>
      </c>
      <c r="F656">
        <f t="shared" ca="1" si="78"/>
        <v>1</v>
      </c>
      <c r="G656" s="76">
        <f t="shared" ca="1" si="79"/>
        <v>0</v>
      </c>
      <c r="H656" s="76">
        <f ca="1">SUM($G$4:G656)</f>
        <v>-25.155084302325577</v>
      </c>
      <c r="I656" s="76">
        <f t="shared" ca="1" si="80"/>
        <v>0</v>
      </c>
      <c r="J656" s="76">
        <f t="shared" ca="1" si="81"/>
        <v>0</v>
      </c>
    </row>
    <row r="657" spans="2:10" x14ac:dyDescent="0.2">
      <c r="B657" s="66"/>
      <c r="C657" s="46">
        <f t="shared" ca="1" si="75"/>
        <v>0</v>
      </c>
      <c r="D657" s="46">
        <f t="shared" ca="1" si="76"/>
        <v>860</v>
      </c>
      <c r="E657" s="74">
        <f t="shared" ca="1" si="77"/>
        <v>1</v>
      </c>
      <c r="F657">
        <f t="shared" ca="1" si="78"/>
        <v>1</v>
      </c>
      <c r="G657" s="76">
        <f t="shared" ca="1" si="79"/>
        <v>0</v>
      </c>
      <c r="H657" s="76">
        <f ca="1">SUM($G$4:G657)</f>
        <v>-25.155084302325577</v>
      </c>
      <c r="I657" s="76">
        <f t="shared" ca="1" si="80"/>
        <v>0</v>
      </c>
      <c r="J657" s="76">
        <f t="shared" ca="1" si="81"/>
        <v>0</v>
      </c>
    </row>
    <row r="658" spans="2:10" x14ac:dyDescent="0.2">
      <c r="B658" s="66"/>
      <c r="C658" s="46">
        <f t="shared" ca="1" si="75"/>
        <v>0</v>
      </c>
      <c r="D658" s="46">
        <f t="shared" ca="1" si="76"/>
        <v>860</v>
      </c>
      <c r="E658" s="74">
        <f t="shared" ca="1" si="77"/>
        <v>1</v>
      </c>
      <c r="F658">
        <f t="shared" ca="1" si="78"/>
        <v>1</v>
      </c>
      <c r="G658" s="76">
        <f t="shared" ca="1" si="79"/>
        <v>0</v>
      </c>
      <c r="H658" s="76">
        <f ca="1">SUM($G$4:G658)</f>
        <v>-25.155084302325577</v>
      </c>
      <c r="I658" s="76">
        <f t="shared" ca="1" si="80"/>
        <v>0</v>
      </c>
      <c r="J658" s="76">
        <f t="shared" ca="1" si="81"/>
        <v>0</v>
      </c>
    </row>
    <row r="659" spans="2:10" x14ac:dyDescent="0.2">
      <c r="B659" s="66"/>
      <c r="C659" s="46">
        <f t="shared" ca="1" si="75"/>
        <v>0</v>
      </c>
      <c r="D659" s="46">
        <f t="shared" ca="1" si="76"/>
        <v>860</v>
      </c>
      <c r="E659" s="74">
        <f t="shared" ca="1" si="77"/>
        <v>1</v>
      </c>
      <c r="F659">
        <f t="shared" ca="1" si="78"/>
        <v>1</v>
      </c>
      <c r="G659" s="76">
        <f t="shared" ca="1" si="79"/>
        <v>0</v>
      </c>
      <c r="H659" s="76">
        <f ca="1">SUM($G$4:G659)</f>
        <v>-25.155084302325577</v>
      </c>
      <c r="I659" s="76">
        <f t="shared" ca="1" si="80"/>
        <v>0</v>
      </c>
      <c r="J659" s="76">
        <f t="shared" ca="1" si="81"/>
        <v>0</v>
      </c>
    </row>
    <row r="660" spans="2:10" x14ac:dyDescent="0.2">
      <c r="B660" s="66"/>
      <c r="C660" s="46">
        <f t="shared" ca="1" si="75"/>
        <v>0</v>
      </c>
      <c r="D660" s="46">
        <f t="shared" ca="1" si="76"/>
        <v>860</v>
      </c>
      <c r="E660" s="74">
        <f t="shared" ca="1" si="77"/>
        <v>1</v>
      </c>
      <c r="F660">
        <f t="shared" ca="1" si="78"/>
        <v>1</v>
      </c>
      <c r="G660" s="76">
        <f t="shared" ca="1" si="79"/>
        <v>0</v>
      </c>
      <c r="H660" s="76">
        <f ca="1">SUM($G$4:G660)</f>
        <v>-25.155084302325577</v>
      </c>
      <c r="I660" s="76">
        <f t="shared" ca="1" si="80"/>
        <v>0</v>
      </c>
      <c r="J660" s="76">
        <f t="shared" ca="1" si="81"/>
        <v>0</v>
      </c>
    </row>
    <row r="661" spans="2:10" x14ac:dyDescent="0.2">
      <c r="B661" s="66"/>
      <c r="C661" s="46">
        <f t="shared" ca="1" si="75"/>
        <v>0</v>
      </c>
      <c r="D661" s="46">
        <f t="shared" ca="1" si="76"/>
        <v>860</v>
      </c>
      <c r="E661" s="74">
        <f t="shared" ca="1" si="77"/>
        <v>1</v>
      </c>
      <c r="F661">
        <f t="shared" ca="1" si="78"/>
        <v>1</v>
      </c>
      <c r="G661" s="76">
        <f t="shared" ca="1" si="79"/>
        <v>0</v>
      </c>
      <c r="H661" s="76">
        <f ca="1">SUM($G$4:G661)</f>
        <v>-25.155084302325577</v>
      </c>
      <c r="I661" s="76">
        <f t="shared" ca="1" si="80"/>
        <v>0</v>
      </c>
      <c r="J661" s="76">
        <f t="shared" ca="1" si="81"/>
        <v>0</v>
      </c>
    </row>
    <row r="662" spans="2:10" x14ac:dyDescent="0.2">
      <c r="B662" s="66"/>
      <c r="C662" s="46">
        <f t="shared" ca="1" si="75"/>
        <v>0</v>
      </c>
      <c r="D662" s="46">
        <f t="shared" ca="1" si="76"/>
        <v>860</v>
      </c>
      <c r="E662" s="74">
        <f t="shared" ca="1" si="77"/>
        <v>1</v>
      </c>
      <c r="F662">
        <f t="shared" ca="1" si="78"/>
        <v>1</v>
      </c>
      <c r="G662" s="76">
        <f t="shared" ca="1" si="79"/>
        <v>0</v>
      </c>
      <c r="H662" s="76">
        <f ca="1">SUM($G$4:G662)</f>
        <v>-25.155084302325577</v>
      </c>
      <c r="I662" s="76">
        <f t="shared" ca="1" si="80"/>
        <v>0</v>
      </c>
      <c r="J662" s="76">
        <f t="shared" ca="1" si="81"/>
        <v>0</v>
      </c>
    </row>
    <row r="663" spans="2:10" x14ac:dyDescent="0.2">
      <c r="B663" s="66"/>
      <c r="C663" s="46">
        <f t="shared" ca="1" si="75"/>
        <v>0</v>
      </c>
      <c r="D663" s="46">
        <f t="shared" ca="1" si="76"/>
        <v>860</v>
      </c>
      <c r="E663" s="74">
        <f t="shared" ca="1" si="77"/>
        <v>1</v>
      </c>
      <c r="F663">
        <f t="shared" ca="1" si="78"/>
        <v>1</v>
      </c>
      <c r="G663" s="76">
        <f t="shared" ca="1" si="79"/>
        <v>0</v>
      </c>
      <c r="H663" s="76">
        <f ca="1">SUM($G$4:G663)</f>
        <v>-25.155084302325577</v>
      </c>
      <c r="I663" s="76">
        <f t="shared" ca="1" si="80"/>
        <v>0</v>
      </c>
      <c r="J663" s="76">
        <f t="shared" ca="1" si="81"/>
        <v>0</v>
      </c>
    </row>
    <row r="664" spans="2:10" x14ac:dyDescent="0.2">
      <c r="B664" s="66"/>
      <c r="C664" s="46">
        <f t="shared" ca="1" si="75"/>
        <v>0</v>
      </c>
      <c r="D664" s="46">
        <f t="shared" ca="1" si="76"/>
        <v>860</v>
      </c>
      <c r="E664" s="74">
        <f t="shared" ca="1" si="77"/>
        <v>1</v>
      </c>
      <c r="F664">
        <f t="shared" ca="1" si="78"/>
        <v>1</v>
      </c>
      <c r="G664" s="76">
        <f t="shared" ca="1" si="79"/>
        <v>0</v>
      </c>
      <c r="H664" s="76">
        <f ca="1">SUM($G$4:G664)</f>
        <v>-25.155084302325577</v>
      </c>
      <c r="I664" s="76">
        <f t="shared" ca="1" si="80"/>
        <v>0</v>
      </c>
      <c r="J664" s="76">
        <f t="shared" ca="1" si="81"/>
        <v>0</v>
      </c>
    </row>
    <row r="665" spans="2:10" x14ac:dyDescent="0.2">
      <c r="B665" s="66"/>
      <c r="C665" s="46">
        <f t="shared" ca="1" si="75"/>
        <v>0</v>
      </c>
      <c r="D665" s="46">
        <f t="shared" ca="1" si="76"/>
        <v>860</v>
      </c>
      <c r="E665" s="74">
        <f t="shared" ca="1" si="77"/>
        <v>1</v>
      </c>
      <c r="F665">
        <f t="shared" ca="1" si="78"/>
        <v>1</v>
      </c>
      <c r="G665" s="76">
        <f t="shared" ca="1" si="79"/>
        <v>0</v>
      </c>
      <c r="H665" s="76">
        <f ca="1">SUM($G$4:G665)</f>
        <v>-25.155084302325577</v>
      </c>
      <c r="I665" s="76">
        <f t="shared" ca="1" si="80"/>
        <v>0</v>
      </c>
      <c r="J665" s="76">
        <f t="shared" ca="1" si="81"/>
        <v>0</v>
      </c>
    </row>
    <row r="666" spans="2:10" x14ac:dyDescent="0.2">
      <c r="B666" s="66"/>
      <c r="C666" s="46">
        <f t="shared" ca="1" si="75"/>
        <v>0</v>
      </c>
      <c r="D666" s="46">
        <f t="shared" ca="1" si="76"/>
        <v>860</v>
      </c>
      <c r="E666" s="74">
        <f t="shared" ca="1" si="77"/>
        <v>1</v>
      </c>
      <c r="F666">
        <f t="shared" ca="1" si="78"/>
        <v>1</v>
      </c>
      <c r="G666" s="76">
        <f t="shared" ca="1" si="79"/>
        <v>0</v>
      </c>
      <c r="H666" s="76">
        <f ca="1">SUM($G$4:G666)</f>
        <v>-25.155084302325577</v>
      </c>
      <c r="I666" s="76">
        <f t="shared" ca="1" si="80"/>
        <v>0</v>
      </c>
      <c r="J666" s="76">
        <f t="shared" ca="1" si="81"/>
        <v>0</v>
      </c>
    </row>
    <row r="667" spans="2:10" x14ac:dyDescent="0.2">
      <c r="B667" s="66"/>
      <c r="C667" s="46">
        <f t="shared" ca="1" si="75"/>
        <v>0</v>
      </c>
      <c r="D667" s="46">
        <f t="shared" ca="1" si="76"/>
        <v>860</v>
      </c>
      <c r="E667" s="74">
        <f t="shared" ca="1" si="77"/>
        <v>1</v>
      </c>
      <c r="F667">
        <f t="shared" ca="1" si="78"/>
        <v>1</v>
      </c>
      <c r="G667" s="76">
        <f t="shared" ca="1" si="79"/>
        <v>0</v>
      </c>
      <c r="H667" s="76">
        <f ca="1">SUM($G$4:G667)</f>
        <v>-25.155084302325577</v>
      </c>
      <c r="I667" s="76">
        <f t="shared" ca="1" si="80"/>
        <v>0</v>
      </c>
      <c r="J667" s="76">
        <f t="shared" ca="1" si="81"/>
        <v>0</v>
      </c>
    </row>
    <row r="668" spans="2:10" x14ac:dyDescent="0.2">
      <c r="B668" s="66"/>
      <c r="C668" s="46">
        <f t="shared" ca="1" si="75"/>
        <v>0</v>
      </c>
      <c r="D668" s="46">
        <f t="shared" ca="1" si="76"/>
        <v>860</v>
      </c>
      <c r="E668" s="74">
        <f t="shared" ca="1" si="77"/>
        <v>1</v>
      </c>
      <c r="F668">
        <f t="shared" ca="1" si="78"/>
        <v>1</v>
      </c>
      <c r="G668" s="76">
        <f t="shared" ca="1" si="79"/>
        <v>0</v>
      </c>
      <c r="H668" s="76">
        <f ca="1">SUM($G$4:G668)</f>
        <v>-25.155084302325577</v>
      </c>
      <c r="I668" s="76">
        <f t="shared" ca="1" si="80"/>
        <v>0</v>
      </c>
      <c r="J668" s="76">
        <f t="shared" ca="1" si="81"/>
        <v>0</v>
      </c>
    </row>
    <row r="669" spans="2:10" x14ac:dyDescent="0.2">
      <c r="B669" s="66"/>
      <c r="C669" s="46">
        <f t="shared" ca="1" si="75"/>
        <v>0</v>
      </c>
      <c r="D669" s="46">
        <f t="shared" ca="1" si="76"/>
        <v>860</v>
      </c>
      <c r="E669" s="74">
        <f t="shared" ca="1" si="77"/>
        <v>1</v>
      </c>
      <c r="F669">
        <f t="shared" ca="1" si="78"/>
        <v>1</v>
      </c>
      <c r="G669" s="76">
        <f t="shared" ca="1" si="79"/>
        <v>0</v>
      </c>
      <c r="H669" s="76">
        <f ca="1">SUM($G$4:G669)</f>
        <v>-25.155084302325577</v>
      </c>
      <c r="I669" s="76">
        <f t="shared" ca="1" si="80"/>
        <v>0</v>
      </c>
      <c r="J669" s="76">
        <f t="shared" ca="1" si="81"/>
        <v>0</v>
      </c>
    </row>
    <row r="670" spans="2:10" x14ac:dyDescent="0.2">
      <c r="B670" s="66"/>
      <c r="C670" s="46">
        <f t="shared" ca="1" si="75"/>
        <v>0</v>
      </c>
      <c r="D670" s="46">
        <f t="shared" ca="1" si="76"/>
        <v>860</v>
      </c>
      <c r="E670" s="74">
        <f t="shared" ca="1" si="77"/>
        <v>1</v>
      </c>
      <c r="F670">
        <f t="shared" ca="1" si="78"/>
        <v>1</v>
      </c>
      <c r="G670" s="76">
        <f t="shared" ca="1" si="79"/>
        <v>0</v>
      </c>
      <c r="H670" s="76">
        <f ca="1">SUM($G$4:G670)</f>
        <v>-25.155084302325577</v>
      </c>
      <c r="I670" s="76">
        <f t="shared" ca="1" si="80"/>
        <v>0</v>
      </c>
      <c r="J670" s="76">
        <f t="shared" ca="1" si="81"/>
        <v>0</v>
      </c>
    </row>
    <row r="671" spans="2:10" x14ac:dyDescent="0.2">
      <c r="B671" s="66"/>
      <c r="C671" s="46">
        <f t="shared" ca="1" si="75"/>
        <v>0</v>
      </c>
      <c r="D671" s="46">
        <f t="shared" ca="1" si="76"/>
        <v>860</v>
      </c>
      <c r="E671" s="74">
        <f t="shared" ca="1" si="77"/>
        <v>1</v>
      </c>
      <c r="F671">
        <f t="shared" ca="1" si="78"/>
        <v>1</v>
      </c>
      <c r="G671" s="76">
        <f t="shared" ca="1" si="79"/>
        <v>0</v>
      </c>
      <c r="H671" s="76">
        <f ca="1">SUM($G$4:G671)</f>
        <v>-25.155084302325577</v>
      </c>
      <c r="I671" s="76">
        <f t="shared" ca="1" si="80"/>
        <v>0</v>
      </c>
      <c r="J671" s="76">
        <f t="shared" ca="1" si="81"/>
        <v>0</v>
      </c>
    </row>
    <row r="672" spans="2:10" x14ac:dyDescent="0.2">
      <c r="B672" s="66"/>
      <c r="C672" s="46">
        <f t="shared" ca="1" si="75"/>
        <v>0</v>
      </c>
      <c r="D672" s="46">
        <f t="shared" ca="1" si="76"/>
        <v>860</v>
      </c>
      <c r="E672" s="74">
        <f t="shared" ca="1" si="77"/>
        <v>1</v>
      </c>
      <c r="F672">
        <f t="shared" ca="1" si="78"/>
        <v>1</v>
      </c>
      <c r="G672" s="76">
        <f t="shared" ca="1" si="79"/>
        <v>0</v>
      </c>
      <c r="H672" s="76">
        <f ca="1">SUM($G$4:G672)</f>
        <v>-25.155084302325577</v>
      </c>
      <c r="I672" s="76">
        <f t="shared" ca="1" si="80"/>
        <v>0</v>
      </c>
      <c r="J672" s="76">
        <f t="shared" ca="1" si="81"/>
        <v>0</v>
      </c>
    </row>
    <row r="673" spans="2:10" x14ac:dyDescent="0.2">
      <c r="B673" s="66"/>
      <c r="C673" s="46">
        <f t="shared" ca="1" si="75"/>
        <v>0</v>
      </c>
      <c r="D673" s="46">
        <f t="shared" ca="1" si="76"/>
        <v>860</v>
      </c>
      <c r="E673" s="74">
        <f t="shared" ca="1" si="77"/>
        <v>1</v>
      </c>
      <c r="F673">
        <f t="shared" ca="1" si="78"/>
        <v>1</v>
      </c>
      <c r="G673" s="76">
        <f t="shared" ca="1" si="79"/>
        <v>0</v>
      </c>
      <c r="H673" s="76">
        <f ca="1">SUM($G$4:G673)</f>
        <v>-25.155084302325577</v>
      </c>
      <c r="I673" s="76">
        <f t="shared" ca="1" si="80"/>
        <v>0</v>
      </c>
      <c r="J673" s="76">
        <f t="shared" ca="1" si="81"/>
        <v>0</v>
      </c>
    </row>
    <row r="674" spans="2:10" x14ac:dyDescent="0.2">
      <c r="B674" s="66"/>
      <c r="C674" s="46">
        <f t="shared" ca="1" si="75"/>
        <v>0</v>
      </c>
      <c r="D674" s="46">
        <f t="shared" ca="1" si="76"/>
        <v>860</v>
      </c>
      <c r="E674" s="74">
        <f t="shared" ca="1" si="77"/>
        <v>1</v>
      </c>
      <c r="F674">
        <f t="shared" ca="1" si="78"/>
        <v>1</v>
      </c>
      <c r="G674" s="76">
        <f t="shared" ca="1" si="79"/>
        <v>0</v>
      </c>
      <c r="H674" s="76">
        <f ca="1">SUM($G$4:G674)</f>
        <v>-25.155084302325577</v>
      </c>
      <c r="I674" s="76">
        <f t="shared" ca="1" si="80"/>
        <v>0</v>
      </c>
      <c r="J674" s="76">
        <f t="shared" ca="1" si="81"/>
        <v>0</v>
      </c>
    </row>
    <row r="675" spans="2:10" x14ac:dyDescent="0.2">
      <c r="B675" s="66"/>
      <c r="C675" s="46">
        <f t="shared" ca="1" si="75"/>
        <v>0</v>
      </c>
      <c r="D675" s="46">
        <f t="shared" ca="1" si="76"/>
        <v>860</v>
      </c>
      <c r="E675" s="74">
        <f t="shared" ca="1" si="77"/>
        <v>1</v>
      </c>
      <c r="F675">
        <f t="shared" ca="1" si="78"/>
        <v>1</v>
      </c>
      <c r="G675" s="76">
        <f t="shared" ca="1" si="79"/>
        <v>0</v>
      </c>
      <c r="H675" s="76">
        <f ca="1">SUM($G$4:G675)</f>
        <v>-25.155084302325577</v>
      </c>
      <c r="I675" s="76">
        <f t="shared" ca="1" si="80"/>
        <v>0</v>
      </c>
      <c r="J675" s="76">
        <f t="shared" ca="1" si="81"/>
        <v>0</v>
      </c>
    </row>
    <row r="676" spans="2:10" x14ac:dyDescent="0.2">
      <c r="B676" s="66"/>
      <c r="C676" s="46">
        <f t="shared" ca="1" si="75"/>
        <v>0</v>
      </c>
      <c r="D676" s="46">
        <f t="shared" ca="1" si="76"/>
        <v>860</v>
      </c>
      <c r="E676" s="74">
        <f t="shared" ca="1" si="77"/>
        <v>1</v>
      </c>
      <c r="F676">
        <f t="shared" ca="1" si="78"/>
        <v>1</v>
      </c>
      <c r="G676" s="76">
        <f t="shared" ca="1" si="79"/>
        <v>0</v>
      </c>
      <c r="H676" s="76">
        <f ca="1">SUM($G$4:G676)</f>
        <v>-25.155084302325577</v>
      </c>
      <c r="I676" s="76">
        <f t="shared" ca="1" si="80"/>
        <v>0</v>
      </c>
      <c r="J676" s="76">
        <f t="shared" ca="1" si="81"/>
        <v>0</v>
      </c>
    </row>
    <row r="677" spans="2:10" x14ac:dyDescent="0.2">
      <c r="B677" s="66"/>
      <c r="C677" s="46">
        <f t="shared" ca="1" si="75"/>
        <v>0</v>
      </c>
      <c r="D677" s="46">
        <f t="shared" ca="1" si="76"/>
        <v>860</v>
      </c>
      <c r="E677" s="74">
        <f t="shared" ca="1" si="77"/>
        <v>1</v>
      </c>
      <c r="F677">
        <f t="shared" ca="1" si="78"/>
        <v>1</v>
      </c>
      <c r="G677" s="76">
        <f t="shared" ca="1" si="79"/>
        <v>0</v>
      </c>
      <c r="H677" s="76">
        <f ca="1">SUM($G$4:G677)</f>
        <v>-25.155084302325577</v>
      </c>
      <c r="I677" s="76">
        <f t="shared" ca="1" si="80"/>
        <v>0</v>
      </c>
      <c r="J677" s="76">
        <f t="shared" ca="1" si="81"/>
        <v>0</v>
      </c>
    </row>
    <row r="678" spans="2:10" x14ac:dyDescent="0.2">
      <c r="B678" s="66"/>
      <c r="C678" s="46">
        <f t="shared" ca="1" si="75"/>
        <v>0</v>
      </c>
      <c r="D678" s="46">
        <f t="shared" ca="1" si="76"/>
        <v>860</v>
      </c>
      <c r="E678" s="74">
        <f t="shared" ca="1" si="77"/>
        <v>1</v>
      </c>
      <c r="F678">
        <f t="shared" ca="1" si="78"/>
        <v>1</v>
      </c>
      <c r="G678" s="76">
        <f t="shared" ca="1" si="79"/>
        <v>0</v>
      </c>
      <c r="H678" s="76">
        <f ca="1">SUM($G$4:G678)</f>
        <v>-25.155084302325577</v>
      </c>
      <c r="I678" s="76">
        <f t="shared" ca="1" si="80"/>
        <v>0</v>
      </c>
      <c r="J678" s="76">
        <f t="shared" ca="1" si="81"/>
        <v>0</v>
      </c>
    </row>
    <row r="679" spans="2:10" x14ac:dyDescent="0.2">
      <c r="B679" s="66"/>
      <c r="C679" s="46">
        <f t="shared" ca="1" si="75"/>
        <v>0</v>
      </c>
      <c r="D679" s="46">
        <f t="shared" ca="1" si="76"/>
        <v>860</v>
      </c>
      <c r="E679" s="74">
        <f t="shared" ca="1" si="77"/>
        <v>1</v>
      </c>
      <c r="F679">
        <f t="shared" ca="1" si="78"/>
        <v>1</v>
      </c>
      <c r="G679" s="76">
        <f t="shared" ca="1" si="79"/>
        <v>0</v>
      </c>
      <c r="H679" s="76">
        <f ca="1">SUM($G$4:G679)</f>
        <v>-25.155084302325577</v>
      </c>
      <c r="I679" s="76">
        <f t="shared" ca="1" si="80"/>
        <v>0</v>
      </c>
      <c r="J679" s="76">
        <f t="shared" ca="1" si="81"/>
        <v>0</v>
      </c>
    </row>
    <row r="680" spans="2:10" x14ac:dyDescent="0.2">
      <c r="B680" s="66"/>
      <c r="C680" s="46">
        <f t="shared" ca="1" si="75"/>
        <v>0</v>
      </c>
      <c r="D680" s="46">
        <f t="shared" ca="1" si="76"/>
        <v>860</v>
      </c>
      <c r="E680" s="74">
        <f t="shared" ca="1" si="77"/>
        <v>1</v>
      </c>
      <c r="F680">
        <f t="shared" ca="1" si="78"/>
        <v>1</v>
      </c>
      <c r="G680" s="76">
        <f t="shared" ca="1" si="79"/>
        <v>0</v>
      </c>
      <c r="H680" s="76">
        <f ca="1">SUM($G$4:G680)</f>
        <v>-25.155084302325577</v>
      </c>
      <c r="I680" s="76">
        <f t="shared" ca="1" si="80"/>
        <v>0</v>
      </c>
      <c r="J680" s="76">
        <f t="shared" ca="1" si="81"/>
        <v>0</v>
      </c>
    </row>
    <row r="681" spans="2:10" x14ac:dyDescent="0.2">
      <c r="B681" s="66"/>
      <c r="C681" s="46">
        <f t="shared" ca="1" si="75"/>
        <v>0</v>
      </c>
      <c r="D681" s="46">
        <f t="shared" ca="1" si="76"/>
        <v>860</v>
      </c>
      <c r="E681" s="74">
        <f t="shared" ca="1" si="77"/>
        <v>1</v>
      </c>
      <c r="F681">
        <f t="shared" ca="1" si="78"/>
        <v>1</v>
      </c>
      <c r="G681" s="76">
        <f t="shared" ca="1" si="79"/>
        <v>0</v>
      </c>
      <c r="H681" s="76">
        <f ca="1">SUM($G$4:G681)</f>
        <v>-25.155084302325577</v>
      </c>
      <c r="I681" s="76">
        <f t="shared" ca="1" si="80"/>
        <v>0</v>
      </c>
      <c r="J681" s="76">
        <f t="shared" ca="1" si="81"/>
        <v>0</v>
      </c>
    </row>
    <row r="682" spans="2:10" x14ac:dyDescent="0.2">
      <c r="B682" s="66"/>
      <c r="C682" s="46">
        <f t="shared" ca="1" si="75"/>
        <v>0</v>
      </c>
      <c r="D682" s="46">
        <f t="shared" ca="1" si="76"/>
        <v>860</v>
      </c>
      <c r="E682" s="74">
        <f t="shared" ca="1" si="77"/>
        <v>1</v>
      </c>
      <c r="F682">
        <f t="shared" ca="1" si="78"/>
        <v>1</v>
      </c>
      <c r="G682" s="76">
        <f t="shared" ca="1" si="79"/>
        <v>0</v>
      </c>
      <c r="H682" s="76">
        <f ca="1">SUM($G$4:G682)</f>
        <v>-25.155084302325577</v>
      </c>
      <c r="I682" s="76">
        <f t="shared" ca="1" si="80"/>
        <v>0</v>
      </c>
      <c r="J682" s="76">
        <f t="shared" ca="1" si="81"/>
        <v>0</v>
      </c>
    </row>
    <row r="683" spans="2:10" x14ac:dyDescent="0.2">
      <c r="B683" s="66"/>
      <c r="C683" s="46">
        <f t="shared" ca="1" si="75"/>
        <v>0</v>
      </c>
      <c r="D683" s="46">
        <f t="shared" ca="1" si="76"/>
        <v>860</v>
      </c>
      <c r="E683" s="74">
        <f t="shared" ca="1" si="77"/>
        <v>1</v>
      </c>
      <c r="F683">
        <f t="shared" ca="1" si="78"/>
        <v>1</v>
      </c>
      <c r="G683" s="76">
        <f t="shared" ca="1" si="79"/>
        <v>0</v>
      </c>
      <c r="H683" s="76">
        <f ca="1">SUM($G$4:G683)</f>
        <v>-25.155084302325577</v>
      </c>
      <c r="I683" s="76">
        <f t="shared" ca="1" si="80"/>
        <v>0</v>
      </c>
      <c r="J683" s="76">
        <f t="shared" ca="1" si="81"/>
        <v>0</v>
      </c>
    </row>
    <row r="684" spans="2:10" x14ac:dyDescent="0.2">
      <c r="B684" s="66"/>
      <c r="C684" s="46">
        <f t="shared" ca="1" si="75"/>
        <v>0</v>
      </c>
      <c r="D684" s="46">
        <f t="shared" ca="1" si="76"/>
        <v>860</v>
      </c>
      <c r="E684" s="74">
        <f t="shared" ca="1" si="77"/>
        <v>1</v>
      </c>
      <c r="F684">
        <f t="shared" ca="1" si="78"/>
        <v>1</v>
      </c>
      <c r="G684" s="76">
        <f t="shared" ca="1" si="79"/>
        <v>0</v>
      </c>
      <c r="H684" s="76">
        <f ca="1">SUM($G$4:G684)</f>
        <v>-25.155084302325577</v>
      </c>
      <c r="I684" s="76">
        <f t="shared" ca="1" si="80"/>
        <v>0</v>
      </c>
      <c r="J684" s="76">
        <f t="shared" ca="1" si="81"/>
        <v>0</v>
      </c>
    </row>
    <row r="685" spans="2:10" x14ac:dyDescent="0.2">
      <c r="B685" s="66"/>
      <c r="C685" s="46">
        <f t="shared" ca="1" si="75"/>
        <v>0</v>
      </c>
      <c r="D685" s="46">
        <f t="shared" ca="1" si="76"/>
        <v>860</v>
      </c>
      <c r="E685" s="74">
        <f t="shared" ca="1" si="77"/>
        <v>1</v>
      </c>
      <c r="F685">
        <f t="shared" ca="1" si="78"/>
        <v>1</v>
      </c>
      <c r="G685" s="76">
        <f t="shared" ca="1" si="79"/>
        <v>0</v>
      </c>
      <c r="H685" s="76">
        <f ca="1">SUM($G$4:G685)</f>
        <v>-25.155084302325577</v>
      </c>
      <c r="I685" s="76">
        <f t="shared" ca="1" si="80"/>
        <v>0</v>
      </c>
      <c r="J685" s="76">
        <f t="shared" ca="1" si="81"/>
        <v>0</v>
      </c>
    </row>
    <row r="686" spans="2:10" x14ac:dyDescent="0.2">
      <c r="B686" s="66"/>
      <c r="C686" s="46">
        <f t="shared" ca="1" si="75"/>
        <v>0</v>
      </c>
      <c r="D686" s="46">
        <f t="shared" ca="1" si="76"/>
        <v>860</v>
      </c>
      <c r="E686" s="74">
        <f t="shared" ca="1" si="77"/>
        <v>1</v>
      </c>
      <c r="F686">
        <f t="shared" ca="1" si="78"/>
        <v>1</v>
      </c>
      <c r="G686" s="76">
        <f t="shared" ca="1" si="79"/>
        <v>0</v>
      </c>
      <c r="H686" s="76">
        <f ca="1">SUM($G$4:G686)</f>
        <v>-25.155084302325577</v>
      </c>
      <c r="I686" s="76">
        <f t="shared" ca="1" si="80"/>
        <v>0</v>
      </c>
      <c r="J686" s="76">
        <f t="shared" ca="1" si="81"/>
        <v>0</v>
      </c>
    </row>
    <row r="687" spans="2:10" x14ac:dyDescent="0.2">
      <c r="B687" s="66"/>
      <c r="C687" s="46">
        <f t="shared" ca="1" si="75"/>
        <v>0</v>
      </c>
      <c r="D687" s="46">
        <f t="shared" ca="1" si="76"/>
        <v>860</v>
      </c>
      <c r="E687" s="74">
        <f t="shared" ca="1" si="77"/>
        <v>1</v>
      </c>
      <c r="F687">
        <f t="shared" ca="1" si="78"/>
        <v>1</v>
      </c>
      <c r="G687" s="76">
        <f t="shared" ca="1" si="79"/>
        <v>0</v>
      </c>
      <c r="H687" s="76">
        <f ca="1">SUM($G$4:G687)</f>
        <v>-25.155084302325577</v>
      </c>
      <c r="I687" s="76">
        <f t="shared" ca="1" si="80"/>
        <v>0</v>
      </c>
      <c r="J687" s="76">
        <f t="shared" ca="1" si="81"/>
        <v>0</v>
      </c>
    </row>
    <row r="688" spans="2:10" x14ac:dyDescent="0.2">
      <c r="B688" s="66"/>
      <c r="C688" s="46">
        <f t="shared" ca="1" si="75"/>
        <v>0</v>
      </c>
      <c r="D688" s="46">
        <f t="shared" ca="1" si="76"/>
        <v>860</v>
      </c>
      <c r="E688" s="74">
        <f t="shared" ca="1" si="77"/>
        <v>1</v>
      </c>
      <c r="F688">
        <f t="shared" ca="1" si="78"/>
        <v>1</v>
      </c>
      <c r="G688" s="76">
        <f t="shared" ca="1" si="79"/>
        <v>0</v>
      </c>
      <c r="H688" s="76">
        <f ca="1">SUM($G$4:G688)</f>
        <v>-25.155084302325577</v>
      </c>
      <c r="I688" s="76">
        <f t="shared" ca="1" si="80"/>
        <v>0</v>
      </c>
      <c r="J688" s="76">
        <f t="shared" ca="1" si="81"/>
        <v>0</v>
      </c>
    </row>
    <row r="689" spans="2:10" x14ac:dyDescent="0.2">
      <c r="B689" s="66"/>
      <c r="C689" s="46">
        <f t="shared" ca="1" si="75"/>
        <v>0</v>
      </c>
      <c r="D689" s="46">
        <f t="shared" ca="1" si="76"/>
        <v>860</v>
      </c>
      <c r="E689" s="74">
        <f t="shared" ca="1" si="77"/>
        <v>1</v>
      </c>
      <c r="F689">
        <f t="shared" ca="1" si="78"/>
        <v>1</v>
      </c>
      <c r="G689" s="76">
        <f t="shared" ca="1" si="79"/>
        <v>0</v>
      </c>
      <c r="H689" s="76">
        <f ca="1">SUM($G$4:G689)</f>
        <v>-25.155084302325577</v>
      </c>
      <c r="I689" s="76">
        <f t="shared" ca="1" si="80"/>
        <v>0</v>
      </c>
      <c r="J689" s="76">
        <f t="shared" ca="1" si="81"/>
        <v>0</v>
      </c>
    </row>
    <row r="690" spans="2:10" x14ac:dyDescent="0.2">
      <c r="B690" s="66"/>
      <c r="C690" s="46">
        <f t="shared" ca="1" si="75"/>
        <v>0</v>
      </c>
      <c r="D690" s="46">
        <f t="shared" ca="1" si="76"/>
        <v>860</v>
      </c>
      <c r="E690" s="74">
        <f t="shared" ca="1" si="77"/>
        <v>1</v>
      </c>
      <c r="F690">
        <f t="shared" ca="1" si="78"/>
        <v>1</v>
      </c>
      <c r="G690" s="76">
        <f t="shared" ca="1" si="79"/>
        <v>0</v>
      </c>
      <c r="H690" s="76">
        <f ca="1">SUM($G$4:G690)</f>
        <v>-25.155084302325577</v>
      </c>
      <c r="I690" s="76">
        <f t="shared" ca="1" si="80"/>
        <v>0</v>
      </c>
      <c r="J690" s="76">
        <f t="shared" ca="1" si="81"/>
        <v>0</v>
      </c>
    </row>
    <row r="691" spans="2:10" x14ac:dyDescent="0.2">
      <c r="B691" s="66"/>
      <c r="C691" s="46">
        <f t="shared" ca="1" si="75"/>
        <v>0</v>
      </c>
      <c r="D691" s="46">
        <f t="shared" ca="1" si="76"/>
        <v>860</v>
      </c>
      <c r="E691" s="74">
        <f t="shared" ca="1" si="77"/>
        <v>1</v>
      </c>
      <c r="F691">
        <f t="shared" ca="1" si="78"/>
        <v>1</v>
      </c>
      <c r="G691" s="76">
        <f t="shared" ca="1" si="79"/>
        <v>0</v>
      </c>
      <c r="H691" s="76">
        <f ca="1">SUM($G$4:G691)</f>
        <v>-25.155084302325577</v>
      </c>
      <c r="I691" s="76">
        <f t="shared" ca="1" si="80"/>
        <v>0</v>
      </c>
      <c r="J691" s="76">
        <f t="shared" ca="1" si="81"/>
        <v>0</v>
      </c>
    </row>
    <row r="692" spans="2:10" x14ac:dyDescent="0.2">
      <c r="B692" s="66"/>
      <c r="C692" s="46">
        <f t="shared" ca="1" si="75"/>
        <v>0</v>
      </c>
      <c r="D692" s="46">
        <f t="shared" ca="1" si="76"/>
        <v>860</v>
      </c>
      <c r="E692" s="74">
        <f t="shared" ca="1" si="77"/>
        <v>1</v>
      </c>
      <c r="F692">
        <f t="shared" ca="1" si="78"/>
        <v>1</v>
      </c>
      <c r="G692" s="76">
        <f t="shared" ca="1" si="79"/>
        <v>0</v>
      </c>
      <c r="H692" s="76">
        <f ca="1">SUM($G$4:G692)</f>
        <v>-25.155084302325577</v>
      </c>
      <c r="I692" s="76">
        <f t="shared" ca="1" si="80"/>
        <v>0</v>
      </c>
      <c r="J692" s="76">
        <f t="shared" ca="1" si="81"/>
        <v>0</v>
      </c>
    </row>
    <row r="693" spans="2:10" x14ac:dyDescent="0.2">
      <c r="B693" s="66"/>
      <c r="C693" s="46">
        <f t="shared" ca="1" si="75"/>
        <v>0</v>
      </c>
      <c r="D693" s="46">
        <f t="shared" ca="1" si="76"/>
        <v>860</v>
      </c>
      <c r="E693" s="74">
        <f t="shared" ca="1" si="77"/>
        <v>1</v>
      </c>
      <c r="F693">
        <f t="shared" ca="1" si="78"/>
        <v>1</v>
      </c>
      <c r="G693" s="76">
        <f t="shared" ca="1" si="79"/>
        <v>0</v>
      </c>
      <c r="H693" s="76">
        <f ca="1">SUM($G$4:G693)</f>
        <v>-25.155084302325577</v>
      </c>
      <c r="I693" s="76">
        <f t="shared" ca="1" si="80"/>
        <v>0</v>
      </c>
      <c r="J693" s="76">
        <f t="shared" ca="1" si="81"/>
        <v>0</v>
      </c>
    </row>
    <row r="694" spans="2:10" x14ac:dyDescent="0.2">
      <c r="B694" s="66"/>
      <c r="C694" s="46">
        <f t="shared" ca="1" si="75"/>
        <v>0</v>
      </c>
      <c r="D694" s="46">
        <f t="shared" ca="1" si="76"/>
        <v>860</v>
      </c>
      <c r="E694" s="74">
        <f t="shared" ca="1" si="77"/>
        <v>1</v>
      </c>
      <c r="F694">
        <f t="shared" ca="1" si="78"/>
        <v>1</v>
      </c>
      <c r="G694" s="76">
        <f t="shared" ca="1" si="79"/>
        <v>0</v>
      </c>
      <c r="H694" s="76">
        <f ca="1">SUM($G$4:G694)</f>
        <v>-25.155084302325577</v>
      </c>
      <c r="I694" s="76">
        <f t="shared" ca="1" si="80"/>
        <v>0</v>
      </c>
      <c r="J694" s="76">
        <f t="shared" ca="1" si="81"/>
        <v>0</v>
      </c>
    </row>
    <row r="695" spans="2:10" x14ac:dyDescent="0.2">
      <c r="B695" s="66"/>
      <c r="C695" s="46">
        <f t="shared" ca="1" si="75"/>
        <v>0</v>
      </c>
      <c r="D695" s="46">
        <f t="shared" ca="1" si="76"/>
        <v>860</v>
      </c>
      <c r="E695" s="74">
        <f t="shared" ca="1" si="77"/>
        <v>1</v>
      </c>
      <c r="F695">
        <f t="shared" ca="1" si="78"/>
        <v>1</v>
      </c>
      <c r="G695" s="76">
        <f t="shared" ca="1" si="79"/>
        <v>0</v>
      </c>
      <c r="H695" s="76">
        <f ca="1">SUM($G$4:G695)</f>
        <v>-25.155084302325577</v>
      </c>
      <c r="I695" s="76">
        <f t="shared" ca="1" si="80"/>
        <v>0</v>
      </c>
      <c r="J695" s="76">
        <f t="shared" ca="1" si="81"/>
        <v>0</v>
      </c>
    </row>
    <row r="696" spans="2:10" x14ac:dyDescent="0.2">
      <c r="B696" s="66"/>
      <c r="C696" s="46">
        <f t="shared" ca="1" si="75"/>
        <v>0</v>
      </c>
      <c r="D696" s="46">
        <f t="shared" ca="1" si="76"/>
        <v>860</v>
      </c>
      <c r="E696" s="74">
        <f t="shared" ca="1" si="77"/>
        <v>1</v>
      </c>
      <c r="F696">
        <f t="shared" ca="1" si="78"/>
        <v>1</v>
      </c>
      <c r="G696" s="76">
        <f t="shared" ca="1" si="79"/>
        <v>0</v>
      </c>
      <c r="H696" s="76">
        <f ca="1">SUM($G$4:G696)</f>
        <v>-25.155084302325577</v>
      </c>
      <c r="I696" s="76">
        <f t="shared" ca="1" si="80"/>
        <v>0</v>
      </c>
      <c r="J696" s="76">
        <f t="shared" ca="1" si="81"/>
        <v>0</v>
      </c>
    </row>
    <row r="697" spans="2:10" x14ac:dyDescent="0.2">
      <c r="B697" s="66"/>
      <c r="C697" s="46">
        <f t="shared" ca="1" si="75"/>
        <v>0</v>
      </c>
      <c r="D697" s="46">
        <f t="shared" ca="1" si="76"/>
        <v>860</v>
      </c>
      <c r="E697" s="74">
        <f t="shared" ca="1" si="77"/>
        <v>1</v>
      </c>
      <c r="F697">
        <f t="shared" ca="1" si="78"/>
        <v>1</v>
      </c>
      <c r="G697" s="76">
        <f t="shared" ca="1" si="79"/>
        <v>0</v>
      </c>
      <c r="H697" s="76">
        <f ca="1">SUM($G$4:G697)</f>
        <v>-25.155084302325577</v>
      </c>
      <c r="I697" s="76">
        <f t="shared" ca="1" si="80"/>
        <v>0</v>
      </c>
      <c r="J697" s="76">
        <f t="shared" ca="1" si="81"/>
        <v>0</v>
      </c>
    </row>
    <row r="698" spans="2:10" x14ac:dyDescent="0.2">
      <c r="B698" s="66"/>
      <c r="C698" s="46">
        <f t="shared" ca="1" si="75"/>
        <v>0</v>
      </c>
      <c r="D698" s="46">
        <f t="shared" ca="1" si="76"/>
        <v>860</v>
      </c>
      <c r="E698" s="74">
        <f t="shared" ca="1" si="77"/>
        <v>1</v>
      </c>
      <c r="F698">
        <f t="shared" ca="1" si="78"/>
        <v>1</v>
      </c>
      <c r="G698" s="76">
        <f t="shared" ca="1" si="79"/>
        <v>0</v>
      </c>
      <c r="H698" s="76">
        <f ca="1">SUM($G$4:G698)</f>
        <v>-25.155084302325577</v>
      </c>
      <c r="I698" s="76">
        <f t="shared" ca="1" si="80"/>
        <v>0</v>
      </c>
      <c r="J698" s="76">
        <f t="shared" ca="1" si="81"/>
        <v>0</v>
      </c>
    </row>
    <row r="699" spans="2:10" x14ac:dyDescent="0.2">
      <c r="B699" s="66"/>
      <c r="C699" s="46">
        <f t="shared" ca="1" si="75"/>
        <v>0</v>
      </c>
      <c r="D699" s="46">
        <f t="shared" ca="1" si="76"/>
        <v>860</v>
      </c>
      <c r="E699" s="74">
        <f t="shared" ca="1" si="77"/>
        <v>1</v>
      </c>
      <c r="F699">
        <f t="shared" ca="1" si="78"/>
        <v>1</v>
      </c>
      <c r="G699" s="76">
        <f t="shared" ca="1" si="79"/>
        <v>0</v>
      </c>
      <c r="H699" s="76">
        <f ca="1">SUM($G$4:G699)</f>
        <v>-25.155084302325577</v>
      </c>
      <c r="I699" s="76">
        <f t="shared" ca="1" si="80"/>
        <v>0</v>
      </c>
      <c r="J699" s="76">
        <f t="shared" ca="1" si="81"/>
        <v>0</v>
      </c>
    </row>
    <row r="700" spans="2:10" x14ac:dyDescent="0.2">
      <c r="B700" s="66"/>
      <c r="C700" s="46">
        <f t="shared" ca="1" si="75"/>
        <v>0</v>
      </c>
      <c r="D700" s="46">
        <f t="shared" ca="1" si="76"/>
        <v>860</v>
      </c>
      <c r="E700" s="74">
        <f t="shared" ca="1" si="77"/>
        <v>1</v>
      </c>
      <c r="F700">
        <f t="shared" ca="1" si="78"/>
        <v>1</v>
      </c>
      <c r="G700" s="76">
        <f t="shared" ca="1" si="79"/>
        <v>0</v>
      </c>
      <c r="H700" s="76">
        <f ca="1">SUM($G$4:G700)</f>
        <v>-25.155084302325577</v>
      </c>
      <c r="I700" s="76">
        <f t="shared" ca="1" si="80"/>
        <v>0</v>
      </c>
      <c r="J700" s="76">
        <f t="shared" ca="1" si="81"/>
        <v>0</v>
      </c>
    </row>
    <row r="701" spans="2:10" x14ac:dyDescent="0.2">
      <c r="B701" s="66"/>
      <c r="C701" s="46">
        <f t="shared" ca="1" si="75"/>
        <v>0</v>
      </c>
      <c r="D701" s="46">
        <f t="shared" ca="1" si="76"/>
        <v>860</v>
      </c>
      <c r="E701" s="74">
        <f t="shared" ca="1" si="77"/>
        <v>1</v>
      </c>
      <c r="F701">
        <f t="shared" ca="1" si="78"/>
        <v>1</v>
      </c>
      <c r="G701" s="76">
        <f t="shared" ca="1" si="79"/>
        <v>0</v>
      </c>
      <c r="H701" s="76">
        <f ca="1">SUM($G$4:G701)</f>
        <v>-25.155084302325577</v>
      </c>
      <c r="I701" s="76">
        <f t="shared" ca="1" si="80"/>
        <v>0</v>
      </c>
      <c r="J701" s="76">
        <f t="shared" ca="1" si="81"/>
        <v>0</v>
      </c>
    </row>
    <row r="702" spans="2:10" x14ac:dyDescent="0.2">
      <c r="B702" s="66"/>
      <c r="C702" s="46">
        <f t="shared" ca="1" si="75"/>
        <v>0</v>
      </c>
      <c r="D702" s="46">
        <f t="shared" ca="1" si="76"/>
        <v>860</v>
      </c>
      <c r="E702" s="74">
        <f t="shared" ca="1" si="77"/>
        <v>1</v>
      </c>
      <c r="F702">
        <f t="shared" ca="1" si="78"/>
        <v>1</v>
      </c>
      <c r="G702" s="76">
        <f t="shared" ca="1" si="79"/>
        <v>0</v>
      </c>
      <c r="H702" s="76">
        <f ca="1">SUM($G$4:G702)</f>
        <v>-25.155084302325577</v>
      </c>
      <c r="I702" s="76">
        <f t="shared" ca="1" si="80"/>
        <v>0</v>
      </c>
      <c r="J702" s="76">
        <f t="shared" ca="1" si="81"/>
        <v>0</v>
      </c>
    </row>
    <row r="703" spans="2:10" x14ac:dyDescent="0.2">
      <c r="B703" s="66"/>
      <c r="C703" s="46">
        <f t="shared" ca="1" si="75"/>
        <v>0</v>
      </c>
      <c r="D703" s="46">
        <f t="shared" ca="1" si="76"/>
        <v>860</v>
      </c>
      <c r="E703" s="74">
        <f t="shared" ca="1" si="77"/>
        <v>1</v>
      </c>
      <c r="F703">
        <f t="shared" ca="1" si="78"/>
        <v>1</v>
      </c>
      <c r="G703" s="76">
        <f t="shared" ca="1" si="79"/>
        <v>0</v>
      </c>
      <c r="H703" s="76">
        <f ca="1">SUM($G$4:G703)</f>
        <v>-25.155084302325577</v>
      </c>
      <c r="I703" s="76">
        <f t="shared" ca="1" si="80"/>
        <v>0</v>
      </c>
      <c r="J703" s="76">
        <f t="shared" ca="1" si="81"/>
        <v>0</v>
      </c>
    </row>
    <row r="704" spans="2:10" x14ac:dyDescent="0.2">
      <c r="B704" s="66"/>
      <c r="C704" s="46">
        <f t="shared" ca="1" si="75"/>
        <v>0</v>
      </c>
      <c r="D704" s="46">
        <f t="shared" ca="1" si="76"/>
        <v>860</v>
      </c>
      <c r="E704" s="74">
        <f t="shared" ca="1" si="77"/>
        <v>1</v>
      </c>
      <c r="F704">
        <f t="shared" ca="1" si="78"/>
        <v>1</v>
      </c>
      <c r="G704" s="76">
        <f t="shared" ca="1" si="79"/>
        <v>0</v>
      </c>
      <c r="H704" s="76">
        <f ca="1">SUM($G$4:G704)</f>
        <v>-25.155084302325577</v>
      </c>
      <c r="I704" s="76">
        <f t="shared" ca="1" si="80"/>
        <v>0</v>
      </c>
      <c r="J704" s="76">
        <f t="shared" ca="1" si="81"/>
        <v>0</v>
      </c>
    </row>
    <row r="705" spans="2:10" x14ac:dyDescent="0.2">
      <c r="B705" s="66"/>
      <c r="C705" s="46">
        <f t="shared" ca="1" si="75"/>
        <v>0</v>
      </c>
      <c r="D705" s="46">
        <f t="shared" ca="1" si="76"/>
        <v>860</v>
      </c>
      <c r="E705" s="74">
        <f t="shared" ca="1" si="77"/>
        <v>1</v>
      </c>
      <c r="F705">
        <f t="shared" ca="1" si="78"/>
        <v>1</v>
      </c>
      <c r="G705" s="76">
        <f t="shared" ca="1" si="79"/>
        <v>0</v>
      </c>
      <c r="H705" s="76">
        <f ca="1">SUM($G$4:G705)</f>
        <v>-25.155084302325577</v>
      </c>
      <c r="I705" s="76">
        <f t="shared" ca="1" si="80"/>
        <v>0</v>
      </c>
      <c r="J705" s="76">
        <f t="shared" ca="1" si="81"/>
        <v>0</v>
      </c>
    </row>
    <row r="706" spans="2:10" x14ac:dyDescent="0.2">
      <c r="B706" s="66"/>
      <c r="C706" s="46">
        <f t="shared" ca="1" si="75"/>
        <v>0</v>
      </c>
      <c r="D706" s="46">
        <f t="shared" ca="1" si="76"/>
        <v>860</v>
      </c>
      <c r="E706" s="74">
        <f t="shared" ca="1" si="77"/>
        <v>1</v>
      </c>
      <c r="F706">
        <f t="shared" ca="1" si="78"/>
        <v>1</v>
      </c>
      <c r="G706" s="76">
        <f t="shared" ca="1" si="79"/>
        <v>0</v>
      </c>
      <c r="H706" s="76">
        <f ca="1">SUM($G$4:G706)</f>
        <v>-25.155084302325577</v>
      </c>
      <c r="I706" s="76">
        <f t="shared" ca="1" si="80"/>
        <v>0</v>
      </c>
      <c r="J706" s="76">
        <f t="shared" ca="1" si="81"/>
        <v>0</v>
      </c>
    </row>
    <row r="707" spans="2:10" x14ac:dyDescent="0.2">
      <c r="B707" s="66"/>
      <c r="C707" s="46">
        <f t="shared" ca="1" si="75"/>
        <v>0</v>
      </c>
      <c r="D707" s="46">
        <f t="shared" ca="1" si="76"/>
        <v>860</v>
      </c>
      <c r="E707" s="74">
        <f t="shared" ca="1" si="77"/>
        <v>1</v>
      </c>
      <c r="F707">
        <f t="shared" ca="1" si="78"/>
        <v>1</v>
      </c>
      <c r="G707" s="76">
        <f t="shared" ca="1" si="79"/>
        <v>0</v>
      </c>
      <c r="H707" s="76">
        <f ca="1">SUM($G$4:G707)</f>
        <v>-25.155084302325577</v>
      </c>
      <c r="I707" s="76">
        <f t="shared" ca="1" si="80"/>
        <v>0</v>
      </c>
      <c r="J707" s="76">
        <f t="shared" ca="1" si="81"/>
        <v>0</v>
      </c>
    </row>
    <row r="708" spans="2:10" x14ac:dyDescent="0.2">
      <c r="B708" s="66"/>
      <c r="C708" s="46">
        <f t="shared" ref="C708:C771" ca="1" si="82">COUNTIF(RAW_DATA,B708)</f>
        <v>0</v>
      </c>
      <c r="D708" s="46">
        <f t="shared" ca="1" si="76"/>
        <v>860</v>
      </c>
      <c r="E708" s="74">
        <f t="shared" ca="1" si="77"/>
        <v>1</v>
      </c>
      <c r="F708">
        <f t="shared" ca="1" si="78"/>
        <v>1</v>
      </c>
      <c r="G708" s="76">
        <f t="shared" ca="1" si="79"/>
        <v>0</v>
      </c>
      <c r="H708" s="76">
        <f ca="1">SUM($G$4:G708)</f>
        <v>-25.155084302325577</v>
      </c>
      <c r="I708" s="76">
        <f t="shared" ca="1" si="80"/>
        <v>0</v>
      </c>
      <c r="J708" s="76">
        <f t="shared" ca="1" si="81"/>
        <v>0</v>
      </c>
    </row>
    <row r="709" spans="2:10" x14ac:dyDescent="0.2">
      <c r="B709" s="66"/>
      <c r="C709" s="46">
        <f t="shared" ca="1" si="82"/>
        <v>0</v>
      </c>
      <c r="D709" s="46">
        <f t="shared" ref="D709:D772" ca="1" si="83">COUNTIF(ALL_DATA,B709)+D708</f>
        <v>860</v>
      </c>
      <c r="E709" s="74">
        <f t="shared" ref="E709:E772" ca="1" si="84">1-C709/D709</f>
        <v>1</v>
      </c>
      <c r="F709">
        <f t="shared" ref="F709:F772" ca="1" si="85">PRODUCT(E710:E1560)</f>
        <v>1</v>
      </c>
      <c r="G709" s="76">
        <f t="shared" ref="G709:G772" ca="1" si="86">(B710-B709)*F709</f>
        <v>0</v>
      </c>
      <c r="H709" s="76">
        <f ca="1">SUM($G$4:G709)</f>
        <v>-25.155084302325577</v>
      </c>
      <c r="I709" s="76">
        <f t="shared" ca="1" si="80"/>
        <v>0</v>
      </c>
      <c r="J709" s="76">
        <f t="shared" ca="1" si="81"/>
        <v>0</v>
      </c>
    </row>
    <row r="710" spans="2:10" x14ac:dyDescent="0.2">
      <c r="B710" s="66"/>
      <c r="C710" s="46">
        <f t="shared" ca="1" si="82"/>
        <v>0</v>
      </c>
      <c r="D710" s="46">
        <f t="shared" ca="1" si="83"/>
        <v>860</v>
      </c>
      <c r="E710" s="74">
        <f t="shared" ca="1" si="84"/>
        <v>1</v>
      </c>
      <c r="F710">
        <f t="shared" ca="1" si="85"/>
        <v>1</v>
      </c>
      <c r="G710" s="76">
        <f t="shared" ca="1" si="86"/>
        <v>0</v>
      </c>
      <c r="H710" s="76">
        <f ca="1">SUM($G$4:G710)</f>
        <v>-25.155084302325577</v>
      </c>
      <c r="I710" s="76">
        <f t="shared" ref="I710:I773" ca="1" si="87">B710*(F710-F709)</f>
        <v>0</v>
      </c>
      <c r="J710" s="76">
        <f t="shared" ref="J710:J773" ca="1" si="88">POWER(B710-$M$3,2)*(F710-F709)</f>
        <v>0</v>
      </c>
    </row>
    <row r="711" spans="2:10" x14ac:dyDescent="0.2">
      <c r="B711" s="66"/>
      <c r="C711" s="46">
        <f t="shared" ca="1" si="82"/>
        <v>0</v>
      </c>
      <c r="D711" s="46">
        <f t="shared" ca="1" si="83"/>
        <v>860</v>
      </c>
      <c r="E711" s="74">
        <f t="shared" ca="1" si="84"/>
        <v>1</v>
      </c>
      <c r="F711">
        <f t="shared" ca="1" si="85"/>
        <v>1</v>
      </c>
      <c r="G711" s="76">
        <f t="shared" ca="1" si="86"/>
        <v>0</v>
      </c>
      <c r="H711" s="76">
        <f ca="1">SUM($G$4:G711)</f>
        <v>-25.155084302325577</v>
      </c>
      <c r="I711" s="76">
        <f t="shared" ca="1" si="87"/>
        <v>0</v>
      </c>
      <c r="J711" s="76">
        <f t="shared" ca="1" si="88"/>
        <v>0</v>
      </c>
    </row>
    <row r="712" spans="2:10" x14ac:dyDescent="0.2">
      <c r="B712" s="66"/>
      <c r="C712" s="46">
        <f t="shared" ca="1" si="82"/>
        <v>0</v>
      </c>
      <c r="D712" s="46">
        <f t="shared" ca="1" si="83"/>
        <v>860</v>
      </c>
      <c r="E712" s="74">
        <f t="shared" ca="1" si="84"/>
        <v>1</v>
      </c>
      <c r="F712">
        <f t="shared" ca="1" si="85"/>
        <v>1</v>
      </c>
      <c r="G712" s="76">
        <f t="shared" ca="1" si="86"/>
        <v>0</v>
      </c>
      <c r="H712" s="76">
        <f ca="1">SUM($G$4:G712)</f>
        <v>-25.155084302325577</v>
      </c>
      <c r="I712" s="76">
        <f t="shared" ca="1" si="87"/>
        <v>0</v>
      </c>
      <c r="J712" s="76">
        <f t="shared" ca="1" si="88"/>
        <v>0</v>
      </c>
    </row>
    <row r="713" spans="2:10" x14ac:dyDescent="0.2">
      <c r="B713" s="66"/>
      <c r="C713" s="46">
        <f t="shared" ca="1" si="82"/>
        <v>0</v>
      </c>
      <c r="D713" s="46">
        <f t="shared" ca="1" si="83"/>
        <v>860</v>
      </c>
      <c r="E713" s="74">
        <f t="shared" ca="1" si="84"/>
        <v>1</v>
      </c>
      <c r="F713">
        <f t="shared" ca="1" si="85"/>
        <v>1</v>
      </c>
      <c r="G713" s="76">
        <f t="shared" ca="1" si="86"/>
        <v>0</v>
      </c>
      <c r="H713" s="76">
        <f ca="1">SUM($G$4:G713)</f>
        <v>-25.155084302325577</v>
      </c>
      <c r="I713" s="76">
        <f t="shared" ca="1" si="87"/>
        <v>0</v>
      </c>
      <c r="J713" s="76">
        <f t="shared" ca="1" si="88"/>
        <v>0</v>
      </c>
    </row>
    <row r="714" spans="2:10" x14ac:dyDescent="0.2">
      <c r="B714" s="66"/>
      <c r="C714" s="46">
        <f t="shared" ca="1" si="82"/>
        <v>0</v>
      </c>
      <c r="D714" s="46">
        <f t="shared" ca="1" si="83"/>
        <v>860</v>
      </c>
      <c r="E714" s="74">
        <f t="shared" ca="1" si="84"/>
        <v>1</v>
      </c>
      <c r="F714">
        <f t="shared" ca="1" si="85"/>
        <v>1</v>
      </c>
      <c r="G714" s="76">
        <f t="shared" ca="1" si="86"/>
        <v>0</v>
      </c>
      <c r="H714" s="76">
        <f ca="1">SUM($G$4:G714)</f>
        <v>-25.155084302325577</v>
      </c>
      <c r="I714" s="76">
        <f t="shared" ca="1" si="87"/>
        <v>0</v>
      </c>
      <c r="J714" s="76">
        <f t="shared" ca="1" si="88"/>
        <v>0</v>
      </c>
    </row>
    <row r="715" spans="2:10" x14ac:dyDescent="0.2">
      <c r="B715" s="66"/>
      <c r="C715" s="46">
        <f t="shared" ca="1" si="82"/>
        <v>0</v>
      </c>
      <c r="D715" s="46">
        <f t="shared" ca="1" si="83"/>
        <v>860</v>
      </c>
      <c r="E715" s="74">
        <f t="shared" ca="1" si="84"/>
        <v>1</v>
      </c>
      <c r="F715">
        <f t="shared" ca="1" si="85"/>
        <v>1</v>
      </c>
      <c r="G715" s="76">
        <f t="shared" ca="1" si="86"/>
        <v>0</v>
      </c>
      <c r="H715" s="76">
        <f ca="1">SUM($G$4:G715)</f>
        <v>-25.155084302325577</v>
      </c>
      <c r="I715" s="76">
        <f t="shared" ca="1" si="87"/>
        <v>0</v>
      </c>
      <c r="J715" s="76">
        <f t="shared" ca="1" si="88"/>
        <v>0</v>
      </c>
    </row>
    <row r="716" spans="2:10" x14ac:dyDescent="0.2">
      <c r="B716" s="66"/>
      <c r="C716" s="46">
        <f t="shared" ca="1" si="82"/>
        <v>0</v>
      </c>
      <c r="D716" s="46">
        <f t="shared" ca="1" si="83"/>
        <v>860</v>
      </c>
      <c r="E716" s="74">
        <f t="shared" ca="1" si="84"/>
        <v>1</v>
      </c>
      <c r="F716">
        <f t="shared" ca="1" si="85"/>
        <v>1</v>
      </c>
      <c r="G716" s="76">
        <f t="shared" ca="1" si="86"/>
        <v>0</v>
      </c>
      <c r="H716" s="76">
        <f ca="1">SUM($G$4:G716)</f>
        <v>-25.155084302325577</v>
      </c>
      <c r="I716" s="76">
        <f t="shared" ca="1" si="87"/>
        <v>0</v>
      </c>
      <c r="J716" s="76">
        <f t="shared" ca="1" si="88"/>
        <v>0</v>
      </c>
    </row>
    <row r="717" spans="2:10" x14ac:dyDescent="0.2">
      <c r="B717" s="66"/>
      <c r="C717" s="46">
        <f t="shared" ca="1" si="82"/>
        <v>0</v>
      </c>
      <c r="D717" s="46">
        <f t="shared" ca="1" si="83"/>
        <v>860</v>
      </c>
      <c r="E717" s="74">
        <f t="shared" ca="1" si="84"/>
        <v>1</v>
      </c>
      <c r="F717">
        <f t="shared" ca="1" si="85"/>
        <v>1</v>
      </c>
      <c r="G717" s="76">
        <f t="shared" ca="1" si="86"/>
        <v>0</v>
      </c>
      <c r="H717" s="76">
        <f ca="1">SUM($G$4:G717)</f>
        <v>-25.155084302325577</v>
      </c>
      <c r="I717" s="76">
        <f t="shared" ca="1" si="87"/>
        <v>0</v>
      </c>
      <c r="J717" s="76">
        <f t="shared" ca="1" si="88"/>
        <v>0</v>
      </c>
    </row>
    <row r="718" spans="2:10" x14ac:dyDescent="0.2">
      <c r="B718" s="66"/>
      <c r="C718" s="46">
        <f t="shared" ca="1" si="82"/>
        <v>0</v>
      </c>
      <c r="D718" s="46">
        <f t="shared" ca="1" si="83"/>
        <v>860</v>
      </c>
      <c r="E718" s="74">
        <f t="shared" ca="1" si="84"/>
        <v>1</v>
      </c>
      <c r="F718">
        <f t="shared" ca="1" si="85"/>
        <v>1</v>
      </c>
      <c r="G718" s="76">
        <f t="shared" ca="1" si="86"/>
        <v>0</v>
      </c>
      <c r="H718" s="76">
        <f ca="1">SUM($G$4:G718)</f>
        <v>-25.155084302325577</v>
      </c>
      <c r="I718" s="76">
        <f t="shared" ca="1" si="87"/>
        <v>0</v>
      </c>
      <c r="J718" s="76">
        <f t="shared" ca="1" si="88"/>
        <v>0</v>
      </c>
    </row>
    <row r="719" spans="2:10" x14ac:dyDescent="0.2">
      <c r="B719" s="66"/>
      <c r="C719" s="46">
        <f t="shared" ca="1" si="82"/>
        <v>0</v>
      </c>
      <c r="D719" s="46">
        <f t="shared" ca="1" si="83"/>
        <v>860</v>
      </c>
      <c r="E719" s="74">
        <f t="shared" ca="1" si="84"/>
        <v>1</v>
      </c>
      <c r="F719">
        <f t="shared" ca="1" si="85"/>
        <v>1</v>
      </c>
      <c r="G719" s="76">
        <f t="shared" ca="1" si="86"/>
        <v>0</v>
      </c>
      <c r="H719" s="76">
        <f ca="1">SUM($G$4:G719)</f>
        <v>-25.155084302325577</v>
      </c>
      <c r="I719" s="76">
        <f t="shared" ca="1" si="87"/>
        <v>0</v>
      </c>
      <c r="J719" s="76">
        <f t="shared" ca="1" si="88"/>
        <v>0</v>
      </c>
    </row>
    <row r="720" spans="2:10" x14ac:dyDescent="0.2">
      <c r="B720" s="66"/>
      <c r="C720" s="46">
        <f t="shared" ca="1" si="82"/>
        <v>0</v>
      </c>
      <c r="D720" s="46">
        <f t="shared" ca="1" si="83"/>
        <v>860</v>
      </c>
      <c r="E720" s="74">
        <f t="shared" ca="1" si="84"/>
        <v>1</v>
      </c>
      <c r="F720">
        <f t="shared" ca="1" si="85"/>
        <v>1</v>
      </c>
      <c r="G720" s="76">
        <f t="shared" ca="1" si="86"/>
        <v>0</v>
      </c>
      <c r="H720" s="76">
        <f ca="1">SUM($G$4:G720)</f>
        <v>-25.155084302325577</v>
      </c>
      <c r="I720" s="76">
        <f t="shared" ca="1" si="87"/>
        <v>0</v>
      </c>
      <c r="J720" s="76">
        <f t="shared" ca="1" si="88"/>
        <v>0</v>
      </c>
    </row>
    <row r="721" spans="2:10" x14ac:dyDescent="0.2">
      <c r="B721" s="66"/>
      <c r="C721" s="46">
        <f t="shared" ca="1" si="82"/>
        <v>0</v>
      </c>
      <c r="D721" s="46">
        <f t="shared" ca="1" si="83"/>
        <v>860</v>
      </c>
      <c r="E721" s="74">
        <f t="shared" ca="1" si="84"/>
        <v>1</v>
      </c>
      <c r="F721">
        <f t="shared" ca="1" si="85"/>
        <v>1</v>
      </c>
      <c r="G721" s="76">
        <f t="shared" ca="1" si="86"/>
        <v>0</v>
      </c>
      <c r="H721" s="76">
        <f ca="1">SUM($G$4:G721)</f>
        <v>-25.155084302325577</v>
      </c>
      <c r="I721" s="76">
        <f t="shared" ca="1" si="87"/>
        <v>0</v>
      </c>
      <c r="J721" s="76">
        <f t="shared" ca="1" si="88"/>
        <v>0</v>
      </c>
    </row>
    <row r="722" spans="2:10" x14ac:dyDescent="0.2">
      <c r="B722" s="66"/>
      <c r="C722" s="46">
        <f t="shared" ca="1" si="82"/>
        <v>0</v>
      </c>
      <c r="D722" s="46">
        <f t="shared" ca="1" si="83"/>
        <v>860</v>
      </c>
      <c r="E722" s="74">
        <f t="shared" ca="1" si="84"/>
        <v>1</v>
      </c>
      <c r="F722">
        <f t="shared" ca="1" si="85"/>
        <v>1</v>
      </c>
      <c r="G722" s="76">
        <f t="shared" ca="1" si="86"/>
        <v>0</v>
      </c>
      <c r="H722" s="76">
        <f ca="1">SUM($G$4:G722)</f>
        <v>-25.155084302325577</v>
      </c>
      <c r="I722" s="76">
        <f t="shared" ca="1" si="87"/>
        <v>0</v>
      </c>
      <c r="J722" s="76">
        <f t="shared" ca="1" si="88"/>
        <v>0</v>
      </c>
    </row>
    <row r="723" spans="2:10" x14ac:dyDescent="0.2">
      <c r="B723" s="66"/>
      <c r="C723" s="46">
        <f t="shared" ca="1" si="82"/>
        <v>0</v>
      </c>
      <c r="D723" s="46">
        <f t="shared" ca="1" si="83"/>
        <v>860</v>
      </c>
      <c r="E723" s="74">
        <f t="shared" ca="1" si="84"/>
        <v>1</v>
      </c>
      <c r="F723">
        <f t="shared" ca="1" si="85"/>
        <v>1</v>
      </c>
      <c r="G723" s="76">
        <f t="shared" ca="1" si="86"/>
        <v>0</v>
      </c>
      <c r="H723" s="76">
        <f ca="1">SUM($G$4:G723)</f>
        <v>-25.155084302325577</v>
      </c>
      <c r="I723" s="76">
        <f t="shared" ca="1" si="87"/>
        <v>0</v>
      </c>
      <c r="J723" s="76">
        <f t="shared" ca="1" si="88"/>
        <v>0</v>
      </c>
    </row>
    <row r="724" spans="2:10" x14ac:dyDescent="0.2">
      <c r="B724" s="66"/>
      <c r="C724" s="46">
        <f t="shared" ca="1" si="82"/>
        <v>0</v>
      </c>
      <c r="D724" s="46">
        <f t="shared" ca="1" si="83"/>
        <v>860</v>
      </c>
      <c r="E724" s="74">
        <f t="shared" ca="1" si="84"/>
        <v>1</v>
      </c>
      <c r="F724">
        <f t="shared" ca="1" si="85"/>
        <v>1</v>
      </c>
      <c r="G724" s="76">
        <f t="shared" ca="1" si="86"/>
        <v>0</v>
      </c>
      <c r="H724" s="76">
        <f ca="1">SUM($G$4:G724)</f>
        <v>-25.155084302325577</v>
      </c>
      <c r="I724" s="76">
        <f t="shared" ca="1" si="87"/>
        <v>0</v>
      </c>
      <c r="J724" s="76">
        <f t="shared" ca="1" si="88"/>
        <v>0</v>
      </c>
    </row>
    <row r="725" spans="2:10" x14ac:dyDescent="0.2">
      <c r="B725" s="66"/>
      <c r="C725" s="46">
        <f t="shared" ca="1" si="82"/>
        <v>0</v>
      </c>
      <c r="D725" s="46">
        <f t="shared" ca="1" si="83"/>
        <v>860</v>
      </c>
      <c r="E725" s="74">
        <f t="shared" ca="1" si="84"/>
        <v>1</v>
      </c>
      <c r="F725">
        <f t="shared" ca="1" si="85"/>
        <v>1</v>
      </c>
      <c r="G725" s="76">
        <f t="shared" ca="1" si="86"/>
        <v>0</v>
      </c>
      <c r="H725" s="76">
        <f ca="1">SUM($G$4:G725)</f>
        <v>-25.155084302325577</v>
      </c>
      <c r="I725" s="76">
        <f t="shared" ca="1" si="87"/>
        <v>0</v>
      </c>
      <c r="J725" s="76">
        <f t="shared" ca="1" si="88"/>
        <v>0</v>
      </c>
    </row>
    <row r="726" spans="2:10" x14ac:dyDescent="0.2">
      <c r="B726" s="66"/>
      <c r="C726" s="46">
        <f t="shared" ca="1" si="82"/>
        <v>0</v>
      </c>
      <c r="D726" s="46">
        <f t="shared" ca="1" si="83"/>
        <v>860</v>
      </c>
      <c r="E726" s="74">
        <f t="shared" ca="1" si="84"/>
        <v>1</v>
      </c>
      <c r="F726">
        <f t="shared" ca="1" si="85"/>
        <v>1</v>
      </c>
      <c r="G726" s="76">
        <f t="shared" ca="1" si="86"/>
        <v>0</v>
      </c>
      <c r="H726" s="76">
        <f ca="1">SUM($G$4:G726)</f>
        <v>-25.155084302325577</v>
      </c>
      <c r="I726" s="76">
        <f t="shared" ca="1" si="87"/>
        <v>0</v>
      </c>
      <c r="J726" s="76">
        <f t="shared" ca="1" si="88"/>
        <v>0</v>
      </c>
    </row>
    <row r="727" spans="2:10" x14ac:dyDescent="0.2">
      <c r="B727" s="66"/>
      <c r="C727" s="46">
        <f t="shared" ca="1" si="82"/>
        <v>0</v>
      </c>
      <c r="D727" s="46">
        <f t="shared" ca="1" si="83"/>
        <v>860</v>
      </c>
      <c r="E727" s="74">
        <f t="shared" ca="1" si="84"/>
        <v>1</v>
      </c>
      <c r="F727">
        <f t="shared" ca="1" si="85"/>
        <v>1</v>
      </c>
      <c r="G727" s="76">
        <f t="shared" ca="1" si="86"/>
        <v>0</v>
      </c>
      <c r="H727" s="76">
        <f ca="1">SUM($G$4:G727)</f>
        <v>-25.155084302325577</v>
      </c>
      <c r="I727" s="76">
        <f t="shared" ca="1" si="87"/>
        <v>0</v>
      </c>
      <c r="J727" s="76">
        <f t="shared" ca="1" si="88"/>
        <v>0</v>
      </c>
    </row>
    <row r="728" spans="2:10" x14ac:dyDescent="0.2">
      <c r="B728" s="66"/>
      <c r="C728" s="46">
        <f t="shared" ca="1" si="82"/>
        <v>0</v>
      </c>
      <c r="D728" s="46">
        <f t="shared" ca="1" si="83"/>
        <v>860</v>
      </c>
      <c r="E728" s="74">
        <f t="shared" ca="1" si="84"/>
        <v>1</v>
      </c>
      <c r="F728">
        <f t="shared" ca="1" si="85"/>
        <v>1</v>
      </c>
      <c r="G728" s="76">
        <f t="shared" ca="1" si="86"/>
        <v>0</v>
      </c>
      <c r="H728" s="76">
        <f ca="1">SUM($G$4:G728)</f>
        <v>-25.155084302325577</v>
      </c>
      <c r="I728" s="76">
        <f t="shared" ca="1" si="87"/>
        <v>0</v>
      </c>
      <c r="J728" s="76">
        <f t="shared" ca="1" si="88"/>
        <v>0</v>
      </c>
    </row>
    <row r="729" spans="2:10" x14ac:dyDescent="0.2">
      <c r="B729" s="66"/>
      <c r="C729" s="46">
        <f t="shared" ca="1" si="82"/>
        <v>0</v>
      </c>
      <c r="D729" s="46">
        <f t="shared" ca="1" si="83"/>
        <v>860</v>
      </c>
      <c r="E729" s="74">
        <f t="shared" ca="1" si="84"/>
        <v>1</v>
      </c>
      <c r="F729">
        <f t="shared" ca="1" si="85"/>
        <v>1</v>
      </c>
      <c r="G729" s="76">
        <f t="shared" ca="1" si="86"/>
        <v>0</v>
      </c>
      <c r="H729" s="76">
        <f ca="1">SUM($G$4:G729)</f>
        <v>-25.155084302325577</v>
      </c>
      <c r="I729" s="76">
        <f t="shared" ca="1" si="87"/>
        <v>0</v>
      </c>
      <c r="J729" s="76">
        <f t="shared" ca="1" si="88"/>
        <v>0</v>
      </c>
    </row>
    <row r="730" spans="2:10" x14ac:dyDescent="0.2">
      <c r="B730" s="66"/>
      <c r="C730" s="46">
        <f t="shared" ca="1" si="82"/>
        <v>0</v>
      </c>
      <c r="D730" s="46">
        <f t="shared" ca="1" si="83"/>
        <v>860</v>
      </c>
      <c r="E730" s="74">
        <f t="shared" ca="1" si="84"/>
        <v>1</v>
      </c>
      <c r="F730">
        <f t="shared" ca="1" si="85"/>
        <v>1</v>
      </c>
      <c r="G730" s="76">
        <f t="shared" ca="1" si="86"/>
        <v>0</v>
      </c>
      <c r="H730" s="76">
        <f ca="1">SUM($G$4:G730)</f>
        <v>-25.155084302325577</v>
      </c>
      <c r="I730" s="76">
        <f t="shared" ca="1" si="87"/>
        <v>0</v>
      </c>
      <c r="J730" s="76">
        <f t="shared" ca="1" si="88"/>
        <v>0</v>
      </c>
    </row>
    <row r="731" spans="2:10" x14ac:dyDescent="0.2">
      <c r="B731" s="66"/>
      <c r="C731" s="46">
        <f t="shared" ca="1" si="82"/>
        <v>0</v>
      </c>
      <c r="D731" s="46">
        <f t="shared" ca="1" si="83"/>
        <v>860</v>
      </c>
      <c r="E731" s="74">
        <f t="shared" ca="1" si="84"/>
        <v>1</v>
      </c>
      <c r="F731">
        <f t="shared" ca="1" si="85"/>
        <v>1</v>
      </c>
      <c r="G731" s="76">
        <f t="shared" ca="1" si="86"/>
        <v>0</v>
      </c>
      <c r="H731" s="76">
        <f ca="1">SUM($G$4:G731)</f>
        <v>-25.155084302325577</v>
      </c>
      <c r="I731" s="76">
        <f t="shared" ca="1" si="87"/>
        <v>0</v>
      </c>
      <c r="J731" s="76">
        <f t="shared" ca="1" si="88"/>
        <v>0</v>
      </c>
    </row>
    <row r="732" spans="2:10" x14ac:dyDescent="0.2">
      <c r="B732" s="66"/>
      <c r="C732" s="46">
        <f t="shared" ca="1" si="82"/>
        <v>0</v>
      </c>
      <c r="D732" s="46">
        <f t="shared" ca="1" si="83"/>
        <v>860</v>
      </c>
      <c r="E732" s="74">
        <f t="shared" ca="1" si="84"/>
        <v>1</v>
      </c>
      <c r="F732">
        <f t="shared" ca="1" si="85"/>
        <v>1</v>
      </c>
      <c r="G732" s="76">
        <f t="shared" ca="1" si="86"/>
        <v>0</v>
      </c>
      <c r="H732" s="76">
        <f ca="1">SUM($G$4:G732)</f>
        <v>-25.155084302325577</v>
      </c>
      <c r="I732" s="76">
        <f t="shared" ca="1" si="87"/>
        <v>0</v>
      </c>
      <c r="J732" s="76">
        <f t="shared" ca="1" si="88"/>
        <v>0</v>
      </c>
    </row>
    <row r="733" spans="2:10" x14ac:dyDescent="0.2">
      <c r="B733" s="66"/>
      <c r="C733" s="46">
        <f t="shared" ca="1" si="82"/>
        <v>0</v>
      </c>
      <c r="D733" s="46">
        <f t="shared" ca="1" si="83"/>
        <v>860</v>
      </c>
      <c r="E733" s="74">
        <f t="shared" ca="1" si="84"/>
        <v>1</v>
      </c>
      <c r="F733">
        <f t="shared" ca="1" si="85"/>
        <v>1</v>
      </c>
      <c r="G733" s="76">
        <f t="shared" ca="1" si="86"/>
        <v>0</v>
      </c>
      <c r="H733" s="76">
        <f ca="1">SUM($G$4:G733)</f>
        <v>-25.155084302325577</v>
      </c>
      <c r="I733" s="76">
        <f t="shared" ca="1" si="87"/>
        <v>0</v>
      </c>
      <c r="J733" s="76">
        <f t="shared" ca="1" si="88"/>
        <v>0</v>
      </c>
    </row>
    <row r="734" spans="2:10" x14ac:dyDescent="0.2">
      <c r="B734" s="66"/>
      <c r="C734" s="46">
        <f t="shared" ca="1" si="82"/>
        <v>0</v>
      </c>
      <c r="D734" s="46">
        <f t="shared" ca="1" si="83"/>
        <v>860</v>
      </c>
      <c r="E734" s="74">
        <f t="shared" ca="1" si="84"/>
        <v>1</v>
      </c>
      <c r="F734">
        <f t="shared" ca="1" si="85"/>
        <v>1</v>
      </c>
      <c r="G734" s="76">
        <f t="shared" ca="1" si="86"/>
        <v>0</v>
      </c>
      <c r="H734" s="76">
        <f ca="1">SUM($G$4:G734)</f>
        <v>-25.155084302325577</v>
      </c>
      <c r="I734" s="76">
        <f t="shared" ca="1" si="87"/>
        <v>0</v>
      </c>
      <c r="J734" s="76">
        <f t="shared" ca="1" si="88"/>
        <v>0</v>
      </c>
    </row>
    <row r="735" spans="2:10" x14ac:dyDescent="0.2">
      <c r="B735" s="66"/>
      <c r="C735" s="46">
        <f t="shared" ca="1" si="82"/>
        <v>0</v>
      </c>
      <c r="D735" s="46">
        <f t="shared" ca="1" si="83"/>
        <v>860</v>
      </c>
      <c r="E735" s="74">
        <f t="shared" ca="1" si="84"/>
        <v>1</v>
      </c>
      <c r="F735">
        <f t="shared" ca="1" si="85"/>
        <v>1</v>
      </c>
      <c r="G735" s="76">
        <f t="shared" ca="1" si="86"/>
        <v>0</v>
      </c>
      <c r="H735" s="76">
        <f ca="1">SUM($G$4:G735)</f>
        <v>-25.155084302325577</v>
      </c>
      <c r="I735" s="76">
        <f t="shared" ca="1" si="87"/>
        <v>0</v>
      </c>
      <c r="J735" s="76">
        <f t="shared" ca="1" si="88"/>
        <v>0</v>
      </c>
    </row>
    <row r="736" spans="2:10" x14ac:dyDescent="0.2">
      <c r="B736" s="66"/>
      <c r="C736" s="46">
        <f t="shared" ca="1" si="82"/>
        <v>0</v>
      </c>
      <c r="D736" s="46">
        <f t="shared" ca="1" si="83"/>
        <v>860</v>
      </c>
      <c r="E736" s="74">
        <f t="shared" ca="1" si="84"/>
        <v>1</v>
      </c>
      <c r="F736">
        <f t="shared" ca="1" si="85"/>
        <v>1</v>
      </c>
      <c r="G736" s="76">
        <f t="shared" ca="1" si="86"/>
        <v>0</v>
      </c>
      <c r="H736" s="76">
        <f ca="1">SUM($G$4:G736)</f>
        <v>-25.155084302325577</v>
      </c>
      <c r="I736" s="76">
        <f t="shared" ca="1" si="87"/>
        <v>0</v>
      </c>
      <c r="J736" s="76">
        <f t="shared" ca="1" si="88"/>
        <v>0</v>
      </c>
    </row>
    <row r="737" spans="2:10" x14ac:dyDescent="0.2">
      <c r="B737" s="66"/>
      <c r="C737" s="46">
        <f t="shared" ca="1" si="82"/>
        <v>0</v>
      </c>
      <c r="D737" s="46">
        <f t="shared" ca="1" si="83"/>
        <v>860</v>
      </c>
      <c r="E737" s="74">
        <f t="shared" ca="1" si="84"/>
        <v>1</v>
      </c>
      <c r="F737">
        <f t="shared" ca="1" si="85"/>
        <v>1</v>
      </c>
      <c r="G737" s="76">
        <f t="shared" ca="1" si="86"/>
        <v>0</v>
      </c>
      <c r="H737" s="76">
        <f ca="1">SUM($G$4:G737)</f>
        <v>-25.155084302325577</v>
      </c>
      <c r="I737" s="76">
        <f t="shared" ca="1" si="87"/>
        <v>0</v>
      </c>
      <c r="J737" s="76">
        <f t="shared" ca="1" si="88"/>
        <v>0</v>
      </c>
    </row>
    <row r="738" spans="2:10" x14ac:dyDescent="0.2">
      <c r="B738" s="66"/>
      <c r="C738" s="46">
        <f t="shared" ca="1" si="82"/>
        <v>0</v>
      </c>
      <c r="D738" s="46">
        <f t="shared" ca="1" si="83"/>
        <v>860</v>
      </c>
      <c r="E738" s="74">
        <f t="shared" ca="1" si="84"/>
        <v>1</v>
      </c>
      <c r="F738">
        <f t="shared" ca="1" si="85"/>
        <v>1</v>
      </c>
      <c r="G738" s="76">
        <f t="shared" ca="1" si="86"/>
        <v>0</v>
      </c>
      <c r="H738" s="76">
        <f ca="1">SUM($G$4:G738)</f>
        <v>-25.155084302325577</v>
      </c>
      <c r="I738" s="76">
        <f t="shared" ca="1" si="87"/>
        <v>0</v>
      </c>
      <c r="J738" s="76">
        <f t="shared" ca="1" si="88"/>
        <v>0</v>
      </c>
    </row>
    <row r="739" spans="2:10" x14ac:dyDescent="0.2">
      <c r="B739" s="66"/>
      <c r="C739" s="46">
        <f t="shared" ca="1" si="82"/>
        <v>0</v>
      </c>
      <c r="D739" s="46">
        <f t="shared" ca="1" si="83"/>
        <v>860</v>
      </c>
      <c r="E739" s="74">
        <f t="shared" ca="1" si="84"/>
        <v>1</v>
      </c>
      <c r="F739">
        <f t="shared" ca="1" si="85"/>
        <v>1</v>
      </c>
      <c r="G739" s="76">
        <f t="shared" ca="1" si="86"/>
        <v>0</v>
      </c>
      <c r="H739" s="76">
        <f ca="1">SUM($G$4:G739)</f>
        <v>-25.155084302325577</v>
      </c>
      <c r="I739" s="76">
        <f t="shared" ca="1" si="87"/>
        <v>0</v>
      </c>
      <c r="J739" s="76">
        <f t="shared" ca="1" si="88"/>
        <v>0</v>
      </c>
    </row>
    <row r="740" spans="2:10" x14ac:dyDescent="0.2">
      <c r="B740" s="66"/>
      <c r="C740" s="46">
        <f t="shared" ca="1" si="82"/>
        <v>0</v>
      </c>
      <c r="D740" s="46">
        <f t="shared" ca="1" si="83"/>
        <v>860</v>
      </c>
      <c r="E740" s="74">
        <f t="shared" ca="1" si="84"/>
        <v>1</v>
      </c>
      <c r="F740">
        <f t="shared" ca="1" si="85"/>
        <v>1</v>
      </c>
      <c r="G740" s="76">
        <f t="shared" ca="1" si="86"/>
        <v>0</v>
      </c>
      <c r="H740" s="76">
        <f ca="1">SUM($G$4:G740)</f>
        <v>-25.155084302325577</v>
      </c>
      <c r="I740" s="76">
        <f t="shared" ca="1" si="87"/>
        <v>0</v>
      </c>
      <c r="J740" s="76">
        <f t="shared" ca="1" si="88"/>
        <v>0</v>
      </c>
    </row>
    <row r="741" spans="2:10" x14ac:dyDescent="0.2">
      <c r="B741" s="66"/>
      <c r="C741" s="46">
        <f t="shared" ca="1" si="82"/>
        <v>0</v>
      </c>
      <c r="D741" s="46">
        <f t="shared" ca="1" si="83"/>
        <v>860</v>
      </c>
      <c r="E741" s="74">
        <f t="shared" ca="1" si="84"/>
        <v>1</v>
      </c>
      <c r="F741">
        <f t="shared" ca="1" si="85"/>
        <v>1</v>
      </c>
      <c r="G741" s="76">
        <f t="shared" ca="1" si="86"/>
        <v>0</v>
      </c>
      <c r="H741" s="76">
        <f ca="1">SUM($G$4:G741)</f>
        <v>-25.155084302325577</v>
      </c>
      <c r="I741" s="76">
        <f t="shared" ca="1" si="87"/>
        <v>0</v>
      </c>
      <c r="J741" s="76">
        <f t="shared" ca="1" si="88"/>
        <v>0</v>
      </c>
    </row>
    <row r="742" spans="2:10" x14ac:dyDescent="0.2">
      <c r="B742" s="66"/>
      <c r="C742" s="46">
        <f t="shared" ca="1" si="82"/>
        <v>0</v>
      </c>
      <c r="D742" s="46">
        <f t="shared" ca="1" si="83"/>
        <v>860</v>
      </c>
      <c r="E742" s="74">
        <f t="shared" ca="1" si="84"/>
        <v>1</v>
      </c>
      <c r="F742">
        <f t="shared" ca="1" si="85"/>
        <v>1</v>
      </c>
      <c r="G742" s="76">
        <f t="shared" ca="1" si="86"/>
        <v>0</v>
      </c>
      <c r="H742" s="76">
        <f ca="1">SUM($G$4:G742)</f>
        <v>-25.155084302325577</v>
      </c>
      <c r="I742" s="76">
        <f t="shared" ca="1" si="87"/>
        <v>0</v>
      </c>
      <c r="J742" s="76">
        <f t="shared" ca="1" si="88"/>
        <v>0</v>
      </c>
    </row>
    <row r="743" spans="2:10" x14ac:dyDescent="0.2">
      <c r="B743" s="66"/>
      <c r="C743" s="46">
        <f t="shared" ca="1" si="82"/>
        <v>0</v>
      </c>
      <c r="D743" s="46">
        <f t="shared" ca="1" si="83"/>
        <v>860</v>
      </c>
      <c r="E743" s="74">
        <f t="shared" ca="1" si="84"/>
        <v>1</v>
      </c>
      <c r="F743">
        <f t="shared" ca="1" si="85"/>
        <v>1</v>
      </c>
      <c r="G743" s="76">
        <f t="shared" ca="1" si="86"/>
        <v>0</v>
      </c>
      <c r="H743" s="76">
        <f ca="1">SUM($G$4:G743)</f>
        <v>-25.155084302325577</v>
      </c>
      <c r="I743" s="76">
        <f t="shared" ca="1" si="87"/>
        <v>0</v>
      </c>
      <c r="J743" s="76">
        <f t="shared" ca="1" si="88"/>
        <v>0</v>
      </c>
    </row>
    <row r="744" spans="2:10" x14ac:dyDescent="0.2">
      <c r="B744" s="66"/>
      <c r="C744" s="46">
        <f t="shared" ca="1" si="82"/>
        <v>0</v>
      </c>
      <c r="D744" s="46">
        <f t="shared" ca="1" si="83"/>
        <v>860</v>
      </c>
      <c r="E744" s="74">
        <f t="shared" ca="1" si="84"/>
        <v>1</v>
      </c>
      <c r="F744">
        <f t="shared" ca="1" si="85"/>
        <v>1</v>
      </c>
      <c r="G744" s="76">
        <f t="shared" ca="1" si="86"/>
        <v>0</v>
      </c>
      <c r="H744" s="76">
        <f ca="1">SUM($G$4:G744)</f>
        <v>-25.155084302325577</v>
      </c>
      <c r="I744" s="76">
        <f t="shared" ca="1" si="87"/>
        <v>0</v>
      </c>
      <c r="J744" s="76">
        <f t="shared" ca="1" si="88"/>
        <v>0</v>
      </c>
    </row>
    <row r="745" spans="2:10" x14ac:dyDescent="0.2">
      <c r="B745" s="66"/>
      <c r="C745" s="46">
        <f t="shared" ca="1" si="82"/>
        <v>0</v>
      </c>
      <c r="D745" s="46">
        <f t="shared" ca="1" si="83"/>
        <v>860</v>
      </c>
      <c r="E745" s="74">
        <f t="shared" ca="1" si="84"/>
        <v>1</v>
      </c>
      <c r="F745">
        <f t="shared" ca="1" si="85"/>
        <v>1</v>
      </c>
      <c r="G745" s="76">
        <f t="shared" ca="1" si="86"/>
        <v>0</v>
      </c>
      <c r="H745" s="76">
        <f ca="1">SUM($G$4:G745)</f>
        <v>-25.155084302325577</v>
      </c>
      <c r="I745" s="76">
        <f t="shared" ca="1" si="87"/>
        <v>0</v>
      </c>
      <c r="J745" s="76">
        <f t="shared" ca="1" si="88"/>
        <v>0</v>
      </c>
    </row>
    <row r="746" spans="2:10" x14ac:dyDescent="0.2">
      <c r="B746" s="66"/>
      <c r="C746" s="46">
        <f t="shared" ca="1" si="82"/>
        <v>0</v>
      </c>
      <c r="D746" s="46">
        <f t="shared" ca="1" si="83"/>
        <v>860</v>
      </c>
      <c r="E746" s="74">
        <f t="shared" ca="1" si="84"/>
        <v>1</v>
      </c>
      <c r="F746">
        <f t="shared" ca="1" si="85"/>
        <v>1</v>
      </c>
      <c r="G746" s="76">
        <f t="shared" ca="1" si="86"/>
        <v>0</v>
      </c>
      <c r="H746" s="76">
        <f ca="1">SUM($G$4:G746)</f>
        <v>-25.155084302325577</v>
      </c>
      <c r="I746" s="76">
        <f t="shared" ca="1" si="87"/>
        <v>0</v>
      </c>
      <c r="J746" s="76">
        <f t="shared" ca="1" si="88"/>
        <v>0</v>
      </c>
    </row>
    <row r="747" spans="2:10" x14ac:dyDescent="0.2">
      <c r="B747" s="66"/>
      <c r="C747" s="46">
        <f t="shared" ca="1" si="82"/>
        <v>0</v>
      </c>
      <c r="D747" s="46">
        <f t="shared" ca="1" si="83"/>
        <v>860</v>
      </c>
      <c r="E747" s="74">
        <f t="shared" ca="1" si="84"/>
        <v>1</v>
      </c>
      <c r="F747">
        <f t="shared" ca="1" si="85"/>
        <v>1</v>
      </c>
      <c r="G747" s="76">
        <f t="shared" ca="1" si="86"/>
        <v>0</v>
      </c>
      <c r="H747" s="76">
        <f ca="1">SUM($G$4:G747)</f>
        <v>-25.155084302325577</v>
      </c>
      <c r="I747" s="76">
        <f t="shared" ca="1" si="87"/>
        <v>0</v>
      </c>
      <c r="J747" s="76">
        <f t="shared" ca="1" si="88"/>
        <v>0</v>
      </c>
    </row>
    <row r="748" spans="2:10" x14ac:dyDescent="0.2">
      <c r="B748" s="66"/>
      <c r="C748" s="46">
        <f t="shared" ca="1" si="82"/>
        <v>0</v>
      </c>
      <c r="D748" s="46">
        <f t="shared" ca="1" si="83"/>
        <v>860</v>
      </c>
      <c r="E748" s="74">
        <f t="shared" ca="1" si="84"/>
        <v>1</v>
      </c>
      <c r="F748">
        <f t="shared" ca="1" si="85"/>
        <v>1</v>
      </c>
      <c r="G748" s="76">
        <f t="shared" ca="1" si="86"/>
        <v>0</v>
      </c>
      <c r="H748" s="76">
        <f ca="1">SUM($G$4:G748)</f>
        <v>-25.155084302325577</v>
      </c>
      <c r="I748" s="76">
        <f t="shared" ca="1" si="87"/>
        <v>0</v>
      </c>
      <c r="J748" s="76">
        <f t="shared" ca="1" si="88"/>
        <v>0</v>
      </c>
    </row>
    <row r="749" spans="2:10" x14ac:dyDescent="0.2">
      <c r="B749" s="66"/>
      <c r="C749" s="46">
        <f t="shared" ca="1" si="82"/>
        <v>0</v>
      </c>
      <c r="D749" s="46">
        <f t="shared" ca="1" si="83"/>
        <v>860</v>
      </c>
      <c r="E749" s="74">
        <f t="shared" ca="1" si="84"/>
        <v>1</v>
      </c>
      <c r="F749">
        <f t="shared" ca="1" si="85"/>
        <v>1</v>
      </c>
      <c r="G749" s="76">
        <f t="shared" ca="1" si="86"/>
        <v>0</v>
      </c>
      <c r="H749" s="76">
        <f ca="1">SUM($G$4:G749)</f>
        <v>-25.155084302325577</v>
      </c>
      <c r="I749" s="76">
        <f t="shared" ca="1" si="87"/>
        <v>0</v>
      </c>
      <c r="J749" s="76">
        <f t="shared" ca="1" si="88"/>
        <v>0</v>
      </c>
    </row>
    <row r="750" spans="2:10" x14ac:dyDescent="0.2">
      <c r="B750" s="66"/>
      <c r="C750" s="46">
        <f t="shared" ca="1" si="82"/>
        <v>0</v>
      </c>
      <c r="D750" s="46">
        <f t="shared" ca="1" si="83"/>
        <v>860</v>
      </c>
      <c r="E750" s="74">
        <f t="shared" ca="1" si="84"/>
        <v>1</v>
      </c>
      <c r="F750">
        <f t="shared" ca="1" si="85"/>
        <v>1</v>
      </c>
      <c r="G750" s="76">
        <f t="shared" ca="1" si="86"/>
        <v>0</v>
      </c>
      <c r="H750" s="76">
        <f ca="1">SUM($G$4:G750)</f>
        <v>-25.155084302325577</v>
      </c>
      <c r="I750" s="76">
        <f t="shared" ca="1" si="87"/>
        <v>0</v>
      </c>
      <c r="J750" s="76">
        <f t="shared" ca="1" si="88"/>
        <v>0</v>
      </c>
    </row>
    <row r="751" spans="2:10" x14ac:dyDescent="0.2">
      <c r="B751" s="66"/>
      <c r="C751" s="46">
        <f t="shared" ca="1" si="82"/>
        <v>0</v>
      </c>
      <c r="D751" s="46">
        <f t="shared" ca="1" si="83"/>
        <v>860</v>
      </c>
      <c r="E751" s="74">
        <f t="shared" ca="1" si="84"/>
        <v>1</v>
      </c>
      <c r="F751">
        <f t="shared" ca="1" si="85"/>
        <v>1</v>
      </c>
      <c r="G751" s="76">
        <f t="shared" ca="1" si="86"/>
        <v>0</v>
      </c>
      <c r="H751" s="76">
        <f ca="1">SUM($G$4:G751)</f>
        <v>-25.155084302325577</v>
      </c>
      <c r="I751" s="76">
        <f t="shared" ca="1" si="87"/>
        <v>0</v>
      </c>
      <c r="J751" s="76">
        <f t="shared" ca="1" si="88"/>
        <v>0</v>
      </c>
    </row>
    <row r="752" spans="2:10" x14ac:dyDescent="0.2">
      <c r="B752" s="66"/>
      <c r="C752" s="46">
        <f t="shared" ca="1" si="82"/>
        <v>0</v>
      </c>
      <c r="D752" s="46">
        <f t="shared" ca="1" si="83"/>
        <v>860</v>
      </c>
      <c r="E752" s="74">
        <f t="shared" ca="1" si="84"/>
        <v>1</v>
      </c>
      <c r="F752">
        <f t="shared" ca="1" si="85"/>
        <v>1</v>
      </c>
      <c r="G752" s="76">
        <f t="shared" ca="1" si="86"/>
        <v>0</v>
      </c>
      <c r="H752" s="76">
        <f ca="1">SUM($G$4:G752)</f>
        <v>-25.155084302325577</v>
      </c>
      <c r="I752" s="76">
        <f t="shared" ca="1" si="87"/>
        <v>0</v>
      </c>
      <c r="J752" s="76">
        <f t="shared" ca="1" si="88"/>
        <v>0</v>
      </c>
    </row>
    <row r="753" spans="2:10" x14ac:dyDescent="0.2">
      <c r="B753" s="66"/>
      <c r="C753" s="46">
        <f t="shared" ca="1" si="82"/>
        <v>0</v>
      </c>
      <c r="D753" s="46">
        <f t="shared" ca="1" si="83"/>
        <v>860</v>
      </c>
      <c r="E753" s="74">
        <f t="shared" ca="1" si="84"/>
        <v>1</v>
      </c>
      <c r="F753">
        <f t="shared" ca="1" si="85"/>
        <v>1</v>
      </c>
      <c r="G753" s="76">
        <f t="shared" ca="1" si="86"/>
        <v>0</v>
      </c>
      <c r="H753" s="76">
        <f ca="1">SUM($G$4:G753)</f>
        <v>-25.155084302325577</v>
      </c>
      <c r="I753" s="76">
        <f t="shared" ca="1" si="87"/>
        <v>0</v>
      </c>
      <c r="J753" s="76">
        <f t="shared" ca="1" si="88"/>
        <v>0</v>
      </c>
    </row>
    <row r="754" spans="2:10" x14ac:dyDescent="0.2">
      <c r="B754" s="66"/>
      <c r="C754" s="46">
        <f t="shared" ca="1" si="82"/>
        <v>0</v>
      </c>
      <c r="D754" s="46">
        <f t="shared" ca="1" si="83"/>
        <v>860</v>
      </c>
      <c r="E754" s="74">
        <f t="shared" ca="1" si="84"/>
        <v>1</v>
      </c>
      <c r="F754">
        <f t="shared" ca="1" si="85"/>
        <v>1</v>
      </c>
      <c r="G754" s="76">
        <f t="shared" ca="1" si="86"/>
        <v>0</v>
      </c>
      <c r="H754" s="76">
        <f ca="1">SUM($G$4:G754)</f>
        <v>-25.155084302325577</v>
      </c>
      <c r="I754" s="76">
        <f t="shared" ca="1" si="87"/>
        <v>0</v>
      </c>
      <c r="J754" s="76">
        <f t="shared" ca="1" si="88"/>
        <v>0</v>
      </c>
    </row>
    <row r="755" spans="2:10" x14ac:dyDescent="0.2">
      <c r="B755" s="66"/>
      <c r="C755" s="46">
        <f t="shared" ca="1" si="82"/>
        <v>0</v>
      </c>
      <c r="D755" s="46">
        <f t="shared" ca="1" si="83"/>
        <v>860</v>
      </c>
      <c r="E755" s="74">
        <f t="shared" ca="1" si="84"/>
        <v>1</v>
      </c>
      <c r="F755">
        <f t="shared" ca="1" si="85"/>
        <v>1</v>
      </c>
      <c r="G755" s="76">
        <f t="shared" ca="1" si="86"/>
        <v>0</v>
      </c>
      <c r="H755" s="76">
        <f ca="1">SUM($G$4:G755)</f>
        <v>-25.155084302325577</v>
      </c>
      <c r="I755" s="76">
        <f t="shared" ca="1" si="87"/>
        <v>0</v>
      </c>
      <c r="J755" s="76">
        <f t="shared" ca="1" si="88"/>
        <v>0</v>
      </c>
    </row>
    <row r="756" spans="2:10" x14ac:dyDescent="0.2">
      <c r="B756" s="66"/>
      <c r="C756" s="46">
        <f t="shared" ca="1" si="82"/>
        <v>0</v>
      </c>
      <c r="D756" s="46">
        <f t="shared" ca="1" si="83"/>
        <v>860</v>
      </c>
      <c r="E756" s="74">
        <f t="shared" ca="1" si="84"/>
        <v>1</v>
      </c>
      <c r="F756">
        <f t="shared" ca="1" si="85"/>
        <v>1</v>
      </c>
      <c r="G756" s="76">
        <f t="shared" ca="1" si="86"/>
        <v>0</v>
      </c>
      <c r="H756" s="76">
        <f ca="1">SUM($G$4:G756)</f>
        <v>-25.155084302325577</v>
      </c>
      <c r="I756" s="76">
        <f t="shared" ca="1" si="87"/>
        <v>0</v>
      </c>
      <c r="J756" s="76">
        <f t="shared" ca="1" si="88"/>
        <v>0</v>
      </c>
    </row>
    <row r="757" spans="2:10" x14ac:dyDescent="0.2">
      <c r="B757" s="66"/>
      <c r="C757" s="46">
        <f t="shared" ca="1" si="82"/>
        <v>0</v>
      </c>
      <c r="D757" s="46">
        <f t="shared" ca="1" si="83"/>
        <v>860</v>
      </c>
      <c r="E757" s="74">
        <f t="shared" ca="1" si="84"/>
        <v>1</v>
      </c>
      <c r="F757">
        <f t="shared" ca="1" si="85"/>
        <v>1</v>
      </c>
      <c r="G757" s="76">
        <f t="shared" ca="1" si="86"/>
        <v>0</v>
      </c>
      <c r="H757" s="76">
        <f ca="1">SUM($G$4:G757)</f>
        <v>-25.155084302325577</v>
      </c>
      <c r="I757" s="76">
        <f t="shared" ca="1" si="87"/>
        <v>0</v>
      </c>
      <c r="J757" s="76">
        <f t="shared" ca="1" si="88"/>
        <v>0</v>
      </c>
    </row>
    <row r="758" spans="2:10" x14ac:dyDescent="0.2">
      <c r="B758" s="66"/>
      <c r="C758" s="46">
        <f t="shared" ca="1" si="82"/>
        <v>0</v>
      </c>
      <c r="D758" s="46">
        <f t="shared" ca="1" si="83"/>
        <v>860</v>
      </c>
      <c r="E758" s="74">
        <f t="shared" ca="1" si="84"/>
        <v>1</v>
      </c>
      <c r="F758">
        <f t="shared" ca="1" si="85"/>
        <v>1</v>
      </c>
      <c r="G758" s="76">
        <f t="shared" ca="1" si="86"/>
        <v>0</v>
      </c>
      <c r="H758" s="76">
        <f ca="1">SUM($G$4:G758)</f>
        <v>-25.155084302325577</v>
      </c>
      <c r="I758" s="76">
        <f t="shared" ca="1" si="87"/>
        <v>0</v>
      </c>
      <c r="J758" s="76">
        <f t="shared" ca="1" si="88"/>
        <v>0</v>
      </c>
    </row>
    <row r="759" spans="2:10" x14ac:dyDescent="0.2">
      <c r="B759" s="66"/>
      <c r="C759" s="46">
        <f t="shared" ca="1" si="82"/>
        <v>0</v>
      </c>
      <c r="D759" s="46">
        <f t="shared" ca="1" si="83"/>
        <v>860</v>
      </c>
      <c r="E759" s="74">
        <f t="shared" ca="1" si="84"/>
        <v>1</v>
      </c>
      <c r="F759">
        <f t="shared" ca="1" si="85"/>
        <v>1</v>
      </c>
      <c r="G759" s="76">
        <f t="shared" ca="1" si="86"/>
        <v>0</v>
      </c>
      <c r="H759" s="76">
        <f ca="1">SUM($G$4:G759)</f>
        <v>-25.155084302325577</v>
      </c>
      <c r="I759" s="76">
        <f t="shared" ca="1" si="87"/>
        <v>0</v>
      </c>
      <c r="J759" s="76">
        <f t="shared" ca="1" si="88"/>
        <v>0</v>
      </c>
    </row>
    <row r="760" spans="2:10" x14ac:dyDescent="0.2">
      <c r="B760" s="66"/>
      <c r="C760" s="46">
        <f t="shared" ca="1" si="82"/>
        <v>0</v>
      </c>
      <c r="D760" s="46">
        <f t="shared" ca="1" si="83"/>
        <v>860</v>
      </c>
      <c r="E760" s="74">
        <f t="shared" ca="1" si="84"/>
        <v>1</v>
      </c>
      <c r="F760">
        <f t="shared" ca="1" si="85"/>
        <v>1</v>
      </c>
      <c r="G760" s="76">
        <f t="shared" ca="1" si="86"/>
        <v>0</v>
      </c>
      <c r="H760" s="76">
        <f ca="1">SUM($G$4:G760)</f>
        <v>-25.155084302325577</v>
      </c>
      <c r="I760" s="76">
        <f t="shared" ca="1" si="87"/>
        <v>0</v>
      </c>
      <c r="J760" s="76">
        <f t="shared" ca="1" si="88"/>
        <v>0</v>
      </c>
    </row>
    <row r="761" spans="2:10" x14ac:dyDescent="0.2">
      <c r="B761" s="66"/>
      <c r="C761" s="46">
        <f t="shared" ca="1" si="82"/>
        <v>0</v>
      </c>
      <c r="D761" s="46">
        <f t="shared" ca="1" si="83"/>
        <v>860</v>
      </c>
      <c r="E761" s="74">
        <f t="shared" ca="1" si="84"/>
        <v>1</v>
      </c>
      <c r="F761">
        <f t="shared" ca="1" si="85"/>
        <v>1</v>
      </c>
      <c r="G761" s="76">
        <f t="shared" ca="1" si="86"/>
        <v>0</v>
      </c>
      <c r="H761" s="76">
        <f ca="1">SUM($G$4:G761)</f>
        <v>-25.155084302325577</v>
      </c>
      <c r="I761" s="76">
        <f t="shared" ca="1" si="87"/>
        <v>0</v>
      </c>
      <c r="J761" s="76">
        <f t="shared" ca="1" si="88"/>
        <v>0</v>
      </c>
    </row>
    <row r="762" spans="2:10" x14ac:dyDescent="0.2">
      <c r="B762" s="66"/>
      <c r="C762" s="46">
        <f t="shared" ca="1" si="82"/>
        <v>0</v>
      </c>
      <c r="D762" s="46">
        <f t="shared" ca="1" si="83"/>
        <v>860</v>
      </c>
      <c r="E762" s="74">
        <f t="shared" ca="1" si="84"/>
        <v>1</v>
      </c>
      <c r="F762">
        <f t="shared" ca="1" si="85"/>
        <v>1</v>
      </c>
      <c r="G762" s="76">
        <f t="shared" ca="1" si="86"/>
        <v>0</v>
      </c>
      <c r="H762" s="76">
        <f ca="1">SUM($G$4:G762)</f>
        <v>-25.155084302325577</v>
      </c>
      <c r="I762" s="76">
        <f t="shared" ca="1" si="87"/>
        <v>0</v>
      </c>
      <c r="J762" s="76">
        <f t="shared" ca="1" si="88"/>
        <v>0</v>
      </c>
    </row>
    <row r="763" spans="2:10" x14ac:dyDescent="0.2">
      <c r="B763" s="66"/>
      <c r="C763" s="46">
        <f t="shared" ca="1" si="82"/>
        <v>0</v>
      </c>
      <c r="D763" s="46">
        <f t="shared" ca="1" si="83"/>
        <v>860</v>
      </c>
      <c r="E763" s="74">
        <f t="shared" ca="1" si="84"/>
        <v>1</v>
      </c>
      <c r="F763">
        <f t="shared" ca="1" si="85"/>
        <v>1</v>
      </c>
      <c r="G763" s="76">
        <f t="shared" ca="1" si="86"/>
        <v>0</v>
      </c>
      <c r="H763" s="76">
        <f ca="1">SUM($G$4:G763)</f>
        <v>-25.155084302325577</v>
      </c>
      <c r="I763" s="76">
        <f t="shared" ca="1" si="87"/>
        <v>0</v>
      </c>
      <c r="J763" s="76">
        <f t="shared" ca="1" si="88"/>
        <v>0</v>
      </c>
    </row>
    <row r="764" spans="2:10" x14ac:dyDescent="0.2">
      <c r="B764" s="66"/>
      <c r="C764" s="46">
        <f t="shared" ca="1" si="82"/>
        <v>0</v>
      </c>
      <c r="D764" s="46">
        <f t="shared" ca="1" si="83"/>
        <v>860</v>
      </c>
      <c r="E764" s="74">
        <f t="shared" ca="1" si="84"/>
        <v>1</v>
      </c>
      <c r="F764">
        <f t="shared" ca="1" si="85"/>
        <v>1</v>
      </c>
      <c r="G764" s="76">
        <f t="shared" ca="1" si="86"/>
        <v>0</v>
      </c>
      <c r="H764" s="76">
        <f ca="1">SUM($G$4:G764)</f>
        <v>-25.155084302325577</v>
      </c>
      <c r="I764" s="76">
        <f t="shared" ca="1" si="87"/>
        <v>0</v>
      </c>
      <c r="J764" s="76">
        <f t="shared" ca="1" si="88"/>
        <v>0</v>
      </c>
    </row>
    <row r="765" spans="2:10" x14ac:dyDescent="0.2">
      <c r="B765" s="66"/>
      <c r="C765" s="46">
        <f t="shared" ca="1" si="82"/>
        <v>0</v>
      </c>
      <c r="D765" s="46">
        <f t="shared" ca="1" si="83"/>
        <v>860</v>
      </c>
      <c r="E765" s="74">
        <f t="shared" ca="1" si="84"/>
        <v>1</v>
      </c>
      <c r="F765">
        <f t="shared" ca="1" si="85"/>
        <v>1</v>
      </c>
      <c r="G765" s="76">
        <f t="shared" ca="1" si="86"/>
        <v>0</v>
      </c>
      <c r="H765" s="76">
        <f ca="1">SUM($G$4:G765)</f>
        <v>-25.155084302325577</v>
      </c>
      <c r="I765" s="76">
        <f t="shared" ca="1" si="87"/>
        <v>0</v>
      </c>
      <c r="J765" s="76">
        <f t="shared" ca="1" si="88"/>
        <v>0</v>
      </c>
    </row>
    <row r="766" spans="2:10" x14ac:dyDescent="0.2">
      <c r="B766" s="66"/>
      <c r="C766" s="46">
        <f t="shared" ca="1" si="82"/>
        <v>0</v>
      </c>
      <c r="D766" s="46">
        <f t="shared" ca="1" si="83"/>
        <v>860</v>
      </c>
      <c r="E766" s="74">
        <f t="shared" ca="1" si="84"/>
        <v>1</v>
      </c>
      <c r="F766">
        <f t="shared" ca="1" si="85"/>
        <v>1</v>
      </c>
      <c r="G766" s="76">
        <f t="shared" ca="1" si="86"/>
        <v>0</v>
      </c>
      <c r="H766" s="76">
        <f ca="1">SUM($G$4:G766)</f>
        <v>-25.155084302325577</v>
      </c>
      <c r="I766" s="76">
        <f t="shared" ca="1" si="87"/>
        <v>0</v>
      </c>
      <c r="J766" s="76">
        <f t="shared" ca="1" si="88"/>
        <v>0</v>
      </c>
    </row>
    <row r="767" spans="2:10" x14ac:dyDescent="0.2">
      <c r="B767" s="66"/>
      <c r="C767" s="46">
        <f t="shared" ca="1" si="82"/>
        <v>0</v>
      </c>
      <c r="D767" s="46">
        <f t="shared" ca="1" si="83"/>
        <v>860</v>
      </c>
      <c r="E767" s="74">
        <f t="shared" ca="1" si="84"/>
        <v>1</v>
      </c>
      <c r="F767">
        <f t="shared" ca="1" si="85"/>
        <v>1</v>
      </c>
      <c r="G767" s="76">
        <f t="shared" ca="1" si="86"/>
        <v>0</v>
      </c>
      <c r="H767" s="76">
        <f ca="1">SUM($G$4:G767)</f>
        <v>-25.155084302325577</v>
      </c>
      <c r="I767" s="76">
        <f t="shared" ca="1" si="87"/>
        <v>0</v>
      </c>
      <c r="J767" s="76">
        <f t="shared" ca="1" si="88"/>
        <v>0</v>
      </c>
    </row>
    <row r="768" spans="2:10" x14ac:dyDescent="0.2">
      <c r="B768" s="66"/>
      <c r="C768" s="46">
        <f t="shared" ca="1" si="82"/>
        <v>0</v>
      </c>
      <c r="D768" s="46">
        <f t="shared" ca="1" si="83"/>
        <v>860</v>
      </c>
      <c r="E768" s="74">
        <f t="shared" ca="1" si="84"/>
        <v>1</v>
      </c>
      <c r="F768">
        <f t="shared" ca="1" si="85"/>
        <v>1</v>
      </c>
      <c r="G768" s="76">
        <f t="shared" ca="1" si="86"/>
        <v>0</v>
      </c>
      <c r="H768" s="76">
        <f ca="1">SUM($G$4:G768)</f>
        <v>-25.155084302325577</v>
      </c>
      <c r="I768" s="76">
        <f t="shared" ca="1" si="87"/>
        <v>0</v>
      </c>
      <c r="J768" s="76">
        <f t="shared" ca="1" si="88"/>
        <v>0</v>
      </c>
    </row>
    <row r="769" spans="2:10" x14ac:dyDescent="0.2">
      <c r="B769" s="66"/>
      <c r="C769" s="46">
        <f t="shared" ca="1" si="82"/>
        <v>0</v>
      </c>
      <c r="D769" s="46">
        <f t="shared" ca="1" si="83"/>
        <v>860</v>
      </c>
      <c r="E769" s="74">
        <f t="shared" ca="1" si="84"/>
        <v>1</v>
      </c>
      <c r="F769">
        <f t="shared" ca="1" si="85"/>
        <v>1</v>
      </c>
      <c r="G769" s="76">
        <f t="shared" ca="1" si="86"/>
        <v>0</v>
      </c>
      <c r="H769" s="76">
        <f ca="1">SUM($G$4:G769)</f>
        <v>-25.155084302325577</v>
      </c>
      <c r="I769" s="76">
        <f t="shared" ca="1" si="87"/>
        <v>0</v>
      </c>
      <c r="J769" s="76">
        <f t="shared" ca="1" si="88"/>
        <v>0</v>
      </c>
    </row>
    <row r="770" spans="2:10" x14ac:dyDescent="0.2">
      <c r="B770" s="66"/>
      <c r="C770" s="46">
        <f t="shared" ca="1" si="82"/>
        <v>0</v>
      </c>
      <c r="D770" s="46">
        <f t="shared" ca="1" si="83"/>
        <v>860</v>
      </c>
      <c r="E770" s="74">
        <f t="shared" ca="1" si="84"/>
        <v>1</v>
      </c>
      <c r="F770">
        <f t="shared" ca="1" si="85"/>
        <v>1</v>
      </c>
      <c r="G770" s="76">
        <f t="shared" ca="1" si="86"/>
        <v>0</v>
      </c>
      <c r="H770" s="76">
        <f ca="1">SUM($G$4:G770)</f>
        <v>-25.155084302325577</v>
      </c>
      <c r="I770" s="76">
        <f t="shared" ca="1" si="87"/>
        <v>0</v>
      </c>
      <c r="J770" s="76">
        <f t="shared" ca="1" si="88"/>
        <v>0</v>
      </c>
    </row>
    <row r="771" spans="2:10" x14ac:dyDescent="0.2">
      <c r="B771" s="66"/>
      <c r="C771" s="46">
        <f t="shared" ca="1" si="82"/>
        <v>0</v>
      </c>
      <c r="D771" s="46">
        <f t="shared" ca="1" si="83"/>
        <v>860</v>
      </c>
      <c r="E771" s="74">
        <f t="shared" ca="1" si="84"/>
        <v>1</v>
      </c>
      <c r="F771">
        <f t="shared" ca="1" si="85"/>
        <v>1</v>
      </c>
      <c r="G771" s="76">
        <f t="shared" ca="1" si="86"/>
        <v>0</v>
      </c>
      <c r="H771" s="76">
        <f ca="1">SUM($G$4:G771)</f>
        <v>-25.155084302325577</v>
      </c>
      <c r="I771" s="76">
        <f t="shared" ca="1" si="87"/>
        <v>0</v>
      </c>
      <c r="J771" s="76">
        <f t="shared" ca="1" si="88"/>
        <v>0</v>
      </c>
    </row>
    <row r="772" spans="2:10" x14ac:dyDescent="0.2">
      <c r="B772" s="66"/>
      <c r="C772" s="46">
        <f t="shared" ref="C772:C835" ca="1" si="89">COUNTIF(RAW_DATA,B772)</f>
        <v>0</v>
      </c>
      <c r="D772" s="46">
        <f t="shared" ca="1" si="83"/>
        <v>860</v>
      </c>
      <c r="E772" s="74">
        <f t="shared" ca="1" si="84"/>
        <v>1</v>
      </c>
      <c r="F772">
        <f t="shared" ca="1" si="85"/>
        <v>1</v>
      </c>
      <c r="G772" s="76">
        <f t="shared" ca="1" si="86"/>
        <v>0</v>
      </c>
      <c r="H772" s="76">
        <f ca="1">SUM($G$4:G772)</f>
        <v>-25.155084302325577</v>
      </c>
      <c r="I772" s="76">
        <f t="shared" ca="1" si="87"/>
        <v>0</v>
      </c>
      <c r="J772" s="76">
        <f t="shared" ca="1" si="88"/>
        <v>0</v>
      </c>
    </row>
    <row r="773" spans="2:10" x14ac:dyDescent="0.2">
      <c r="B773" s="66"/>
      <c r="C773" s="46">
        <f t="shared" ca="1" si="89"/>
        <v>0</v>
      </c>
      <c r="D773" s="46">
        <f t="shared" ref="D773:D836" ca="1" si="90">COUNTIF(ALL_DATA,B773)+D772</f>
        <v>860</v>
      </c>
      <c r="E773" s="74">
        <f t="shared" ref="E773:E836" ca="1" si="91">1-C773/D773</f>
        <v>1</v>
      </c>
      <c r="F773">
        <f t="shared" ref="F773:F836" ca="1" si="92">PRODUCT(E774:E1624)</f>
        <v>1</v>
      </c>
      <c r="G773" s="76">
        <f t="shared" ref="G773:G836" ca="1" si="93">(B774-B773)*F773</f>
        <v>0</v>
      </c>
      <c r="H773" s="76">
        <f ca="1">SUM($G$4:G773)</f>
        <v>-25.155084302325577</v>
      </c>
      <c r="I773" s="76">
        <f t="shared" ca="1" si="87"/>
        <v>0</v>
      </c>
      <c r="J773" s="76">
        <f t="shared" ca="1" si="88"/>
        <v>0</v>
      </c>
    </row>
    <row r="774" spans="2:10" x14ac:dyDescent="0.2">
      <c r="B774" s="66"/>
      <c r="C774" s="46">
        <f t="shared" ca="1" si="89"/>
        <v>0</v>
      </c>
      <c r="D774" s="46">
        <f t="shared" ca="1" si="90"/>
        <v>860</v>
      </c>
      <c r="E774" s="74">
        <f t="shared" ca="1" si="91"/>
        <v>1</v>
      </c>
      <c r="F774">
        <f t="shared" ca="1" si="92"/>
        <v>1</v>
      </c>
      <c r="G774" s="76">
        <f t="shared" ca="1" si="93"/>
        <v>0</v>
      </c>
      <c r="H774" s="76">
        <f ca="1">SUM($G$4:G774)</f>
        <v>-25.155084302325577</v>
      </c>
      <c r="I774" s="76">
        <f t="shared" ref="I774:I837" ca="1" si="94">B774*(F774-F773)</f>
        <v>0</v>
      </c>
      <c r="J774" s="76">
        <f t="shared" ref="J774:J837" ca="1" si="95">POWER(B774-$M$3,2)*(F774-F773)</f>
        <v>0</v>
      </c>
    </row>
    <row r="775" spans="2:10" x14ac:dyDescent="0.2">
      <c r="B775" s="66"/>
      <c r="C775" s="46">
        <f t="shared" ca="1" si="89"/>
        <v>0</v>
      </c>
      <c r="D775" s="46">
        <f t="shared" ca="1" si="90"/>
        <v>860</v>
      </c>
      <c r="E775" s="74">
        <f t="shared" ca="1" si="91"/>
        <v>1</v>
      </c>
      <c r="F775">
        <f t="shared" ca="1" si="92"/>
        <v>1</v>
      </c>
      <c r="G775" s="76">
        <f t="shared" ca="1" si="93"/>
        <v>0</v>
      </c>
      <c r="H775" s="76">
        <f ca="1">SUM($G$4:G775)</f>
        <v>-25.155084302325577</v>
      </c>
      <c r="I775" s="76">
        <f t="shared" ca="1" si="94"/>
        <v>0</v>
      </c>
      <c r="J775" s="76">
        <f t="shared" ca="1" si="95"/>
        <v>0</v>
      </c>
    </row>
    <row r="776" spans="2:10" x14ac:dyDescent="0.2">
      <c r="B776" s="66"/>
      <c r="C776" s="46">
        <f t="shared" ca="1" si="89"/>
        <v>0</v>
      </c>
      <c r="D776" s="46">
        <f t="shared" ca="1" si="90"/>
        <v>860</v>
      </c>
      <c r="E776" s="74">
        <f t="shared" ca="1" si="91"/>
        <v>1</v>
      </c>
      <c r="F776">
        <f t="shared" ca="1" si="92"/>
        <v>1</v>
      </c>
      <c r="G776" s="76">
        <f t="shared" ca="1" si="93"/>
        <v>0</v>
      </c>
      <c r="H776" s="76">
        <f ca="1">SUM($G$4:G776)</f>
        <v>-25.155084302325577</v>
      </c>
      <c r="I776" s="76">
        <f t="shared" ca="1" si="94"/>
        <v>0</v>
      </c>
      <c r="J776" s="76">
        <f t="shared" ca="1" si="95"/>
        <v>0</v>
      </c>
    </row>
    <row r="777" spans="2:10" x14ac:dyDescent="0.2">
      <c r="B777" s="66"/>
      <c r="C777" s="46">
        <f t="shared" ca="1" si="89"/>
        <v>0</v>
      </c>
      <c r="D777" s="46">
        <f t="shared" ca="1" si="90"/>
        <v>860</v>
      </c>
      <c r="E777" s="74">
        <f t="shared" ca="1" si="91"/>
        <v>1</v>
      </c>
      <c r="F777">
        <f t="shared" ca="1" si="92"/>
        <v>1</v>
      </c>
      <c r="G777" s="76">
        <f t="shared" ca="1" si="93"/>
        <v>0</v>
      </c>
      <c r="H777" s="76">
        <f ca="1">SUM($G$4:G777)</f>
        <v>-25.155084302325577</v>
      </c>
      <c r="I777" s="76">
        <f t="shared" ca="1" si="94"/>
        <v>0</v>
      </c>
      <c r="J777" s="76">
        <f t="shared" ca="1" si="95"/>
        <v>0</v>
      </c>
    </row>
    <row r="778" spans="2:10" x14ac:dyDescent="0.2">
      <c r="B778" s="66"/>
      <c r="C778" s="46">
        <f t="shared" ca="1" si="89"/>
        <v>0</v>
      </c>
      <c r="D778" s="46">
        <f t="shared" ca="1" si="90"/>
        <v>860</v>
      </c>
      <c r="E778" s="74">
        <f t="shared" ca="1" si="91"/>
        <v>1</v>
      </c>
      <c r="F778">
        <f t="shared" ca="1" si="92"/>
        <v>1</v>
      </c>
      <c r="G778" s="76">
        <f t="shared" ca="1" si="93"/>
        <v>0</v>
      </c>
      <c r="H778" s="76">
        <f ca="1">SUM($G$4:G778)</f>
        <v>-25.155084302325577</v>
      </c>
      <c r="I778" s="76">
        <f t="shared" ca="1" si="94"/>
        <v>0</v>
      </c>
      <c r="J778" s="76">
        <f t="shared" ca="1" si="95"/>
        <v>0</v>
      </c>
    </row>
    <row r="779" spans="2:10" x14ac:dyDescent="0.2">
      <c r="B779" s="66"/>
      <c r="C779" s="46">
        <f t="shared" ca="1" si="89"/>
        <v>0</v>
      </c>
      <c r="D779" s="46">
        <f t="shared" ca="1" si="90"/>
        <v>860</v>
      </c>
      <c r="E779" s="74">
        <f t="shared" ca="1" si="91"/>
        <v>1</v>
      </c>
      <c r="F779">
        <f t="shared" ca="1" si="92"/>
        <v>1</v>
      </c>
      <c r="G779" s="76">
        <f t="shared" ca="1" si="93"/>
        <v>0</v>
      </c>
      <c r="H779" s="76">
        <f ca="1">SUM($G$4:G779)</f>
        <v>-25.155084302325577</v>
      </c>
      <c r="I779" s="76">
        <f t="shared" ca="1" si="94"/>
        <v>0</v>
      </c>
      <c r="J779" s="76">
        <f t="shared" ca="1" si="95"/>
        <v>0</v>
      </c>
    </row>
    <row r="780" spans="2:10" x14ac:dyDescent="0.2">
      <c r="B780" s="66"/>
      <c r="C780" s="46">
        <f t="shared" ca="1" si="89"/>
        <v>0</v>
      </c>
      <c r="D780" s="46">
        <f t="shared" ca="1" si="90"/>
        <v>860</v>
      </c>
      <c r="E780" s="74">
        <f t="shared" ca="1" si="91"/>
        <v>1</v>
      </c>
      <c r="F780">
        <f t="shared" ca="1" si="92"/>
        <v>1</v>
      </c>
      <c r="G780" s="76">
        <f t="shared" ca="1" si="93"/>
        <v>0</v>
      </c>
      <c r="H780" s="76">
        <f ca="1">SUM($G$4:G780)</f>
        <v>-25.155084302325577</v>
      </c>
      <c r="I780" s="76">
        <f t="shared" ca="1" si="94"/>
        <v>0</v>
      </c>
      <c r="J780" s="76">
        <f t="shared" ca="1" si="95"/>
        <v>0</v>
      </c>
    </row>
    <row r="781" spans="2:10" x14ac:dyDescent="0.2">
      <c r="B781" s="66"/>
      <c r="C781" s="46">
        <f t="shared" ca="1" si="89"/>
        <v>0</v>
      </c>
      <c r="D781" s="46">
        <f t="shared" ca="1" si="90"/>
        <v>860</v>
      </c>
      <c r="E781" s="74">
        <f t="shared" ca="1" si="91"/>
        <v>1</v>
      </c>
      <c r="F781">
        <f t="shared" ca="1" si="92"/>
        <v>1</v>
      </c>
      <c r="G781" s="76">
        <f t="shared" ca="1" si="93"/>
        <v>0</v>
      </c>
      <c r="H781" s="76">
        <f ca="1">SUM($G$4:G781)</f>
        <v>-25.155084302325577</v>
      </c>
      <c r="I781" s="76">
        <f t="shared" ca="1" si="94"/>
        <v>0</v>
      </c>
      <c r="J781" s="76">
        <f t="shared" ca="1" si="95"/>
        <v>0</v>
      </c>
    </row>
    <row r="782" spans="2:10" x14ac:dyDescent="0.2">
      <c r="B782" s="66"/>
      <c r="C782" s="46">
        <f t="shared" ca="1" si="89"/>
        <v>0</v>
      </c>
      <c r="D782" s="46">
        <f t="shared" ca="1" si="90"/>
        <v>860</v>
      </c>
      <c r="E782" s="74">
        <f t="shared" ca="1" si="91"/>
        <v>1</v>
      </c>
      <c r="F782">
        <f t="shared" ca="1" si="92"/>
        <v>1</v>
      </c>
      <c r="G782" s="76">
        <f t="shared" ca="1" si="93"/>
        <v>0</v>
      </c>
      <c r="H782" s="76">
        <f ca="1">SUM($G$4:G782)</f>
        <v>-25.155084302325577</v>
      </c>
      <c r="I782" s="76">
        <f t="shared" ca="1" si="94"/>
        <v>0</v>
      </c>
      <c r="J782" s="76">
        <f t="shared" ca="1" si="95"/>
        <v>0</v>
      </c>
    </row>
    <row r="783" spans="2:10" x14ac:dyDescent="0.2">
      <c r="B783" s="66"/>
      <c r="C783" s="46">
        <f t="shared" ca="1" si="89"/>
        <v>0</v>
      </c>
      <c r="D783" s="46">
        <f t="shared" ca="1" si="90"/>
        <v>860</v>
      </c>
      <c r="E783" s="74">
        <f t="shared" ca="1" si="91"/>
        <v>1</v>
      </c>
      <c r="F783">
        <f t="shared" ca="1" si="92"/>
        <v>1</v>
      </c>
      <c r="G783" s="76">
        <f t="shared" ca="1" si="93"/>
        <v>0</v>
      </c>
      <c r="H783" s="76">
        <f ca="1">SUM($G$4:G783)</f>
        <v>-25.155084302325577</v>
      </c>
      <c r="I783" s="76">
        <f t="shared" ca="1" si="94"/>
        <v>0</v>
      </c>
      <c r="J783" s="76">
        <f t="shared" ca="1" si="95"/>
        <v>0</v>
      </c>
    </row>
    <row r="784" spans="2:10" x14ac:dyDescent="0.2">
      <c r="B784" s="66"/>
      <c r="C784" s="46">
        <f t="shared" ca="1" si="89"/>
        <v>0</v>
      </c>
      <c r="D784" s="46">
        <f t="shared" ca="1" si="90"/>
        <v>860</v>
      </c>
      <c r="E784" s="74">
        <f t="shared" ca="1" si="91"/>
        <v>1</v>
      </c>
      <c r="F784">
        <f t="shared" ca="1" si="92"/>
        <v>1</v>
      </c>
      <c r="G784" s="76">
        <f t="shared" ca="1" si="93"/>
        <v>0</v>
      </c>
      <c r="H784" s="76">
        <f ca="1">SUM($G$4:G784)</f>
        <v>-25.155084302325577</v>
      </c>
      <c r="I784" s="76">
        <f t="shared" ca="1" si="94"/>
        <v>0</v>
      </c>
      <c r="J784" s="76">
        <f t="shared" ca="1" si="95"/>
        <v>0</v>
      </c>
    </row>
    <row r="785" spans="2:10" x14ac:dyDescent="0.2">
      <c r="B785" s="66"/>
      <c r="C785" s="46">
        <f t="shared" ca="1" si="89"/>
        <v>0</v>
      </c>
      <c r="D785" s="46">
        <f t="shared" ca="1" si="90"/>
        <v>860</v>
      </c>
      <c r="E785" s="74">
        <f t="shared" ca="1" si="91"/>
        <v>1</v>
      </c>
      <c r="F785">
        <f t="shared" ca="1" si="92"/>
        <v>1</v>
      </c>
      <c r="G785" s="76">
        <f t="shared" ca="1" si="93"/>
        <v>0</v>
      </c>
      <c r="H785" s="76">
        <f ca="1">SUM($G$4:G785)</f>
        <v>-25.155084302325577</v>
      </c>
      <c r="I785" s="76">
        <f t="shared" ca="1" si="94"/>
        <v>0</v>
      </c>
      <c r="J785" s="76">
        <f t="shared" ca="1" si="95"/>
        <v>0</v>
      </c>
    </row>
    <row r="786" spans="2:10" x14ac:dyDescent="0.2">
      <c r="B786" s="66"/>
      <c r="C786" s="46">
        <f t="shared" ca="1" si="89"/>
        <v>0</v>
      </c>
      <c r="D786" s="46">
        <f t="shared" ca="1" si="90"/>
        <v>860</v>
      </c>
      <c r="E786" s="74">
        <f t="shared" ca="1" si="91"/>
        <v>1</v>
      </c>
      <c r="F786">
        <f t="shared" ca="1" si="92"/>
        <v>1</v>
      </c>
      <c r="G786" s="76">
        <f t="shared" ca="1" si="93"/>
        <v>0</v>
      </c>
      <c r="H786" s="76">
        <f ca="1">SUM($G$4:G786)</f>
        <v>-25.155084302325577</v>
      </c>
      <c r="I786" s="76">
        <f t="shared" ca="1" si="94"/>
        <v>0</v>
      </c>
      <c r="J786" s="76">
        <f t="shared" ca="1" si="95"/>
        <v>0</v>
      </c>
    </row>
    <row r="787" spans="2:10" x14ac:dyDescent="0.2">
      <c r="B787" s="66"/>
      <c r="C787" s="46">
        <f t="shared" ca="1" si="89"/>
        <v>0</v>
      </c>
      <c r="D787" s="46">
        <f t="shared" ca="1" si="90"/>
        <v>860</v>
      </c>
      <c r="E787" s="74">
        <f t="shared" ca="1" si="91"/>
        <v>1</v>
      </c>
      <c r="F787">
        <f t="shared" ca="1" si="92"/>
        <v>1</v>
      </c>
      <c r="G787" s="76">
        <f t="shared" ca="1" si="93"/>
        <v>0</v>
      </c>
      <c r="H787" s="76">
        <f ca="1">SUM($G$4:G787)</f>
        <v>-25.155084302325577</v>
      </c>
      <c r="I787" s="76">
        <f t="shared" ca="1" si="94"/>
        <v>0</v>
      </c>
      <c r="J787" s="76">
        <f t="shared" ca="1" si="95"/>
        <v>0</v>
      </c>
    </row>
    <row r="788" spans="2:10" x14ac:dyDescent="0.2">
      <c r="B788" s="66"/>
      <c r="C788" s="46">
        <f t="shared" ca="1" si="89"/>
        <v>0</v>
      </c>
      <c r="D788" s="46">
        <f t="shared" ca="1" si="90"/>
        <v>860</v>
      </c>
      <c r="E788" s="74">
        <f t="shared" ca="1" si="91"/>
        <v>1</v>
      </c>
      <c r="F788">
        <f t="shared" ca="1" si="92"/>
        <v>1</v>
      </c>
      <c r="G788" s="76">
        <f t="shared" ca="1" si="93"/>
        <v>0</v>
      </c>
      <c r="H788" s="76">
        <f ca="1">SUM($G$4:G788)</f>
        <v>-25.155084302325577</v>
      </c>
      <c r="I788" s="76">
        <f t="shared" ca="1" si="94"/>
        <v>0</v>
      </c>
      <c r="J788" s="76">
        <f t="shared" ca="1" si="95"/>
        <v>0</v>
      </c>
    </row>
    <row r="789" spans="2:10" x14ac:dyDescent="0.2">
      <c r="B789" s="66"/>
      <c r="C789" s="46">
        <f t="shared" ca="1" si="89"/>
        <v>0</v>
      </c>
      <c r="D789" s="46">
        <f t="shared" ca="1" si="90"/>
        <v>860</v>
      </c>
      <c r="E789" s="74">
        <f t="shared" ca="1" si="91"/>
        <v>1</v>
      </c>
      <c r="F789">
        <f t="shared" ca="1" si="92"/>
        <v>1</v>
      </c>
      <c r="G789" s="76">
        <f t="shared" ca="1" si="93"/>
        <v>0</v>
      </c>
      <c r="H789" s="76">
        <f ca="1">SUM($G$4:G789)</f>
        <v>-25.155084302325577</v>
      </c>
      <c r="I789" s="76">
        <f t="shared" ca="1" si="94"/>
        <v>0</v>
      </c>
      <c r="J789" s="76">
        <f t="shared" ca="1" si="95"/>
        <v>0</v>
      </c>
    </row>
    <row r="790" spans="2:10" x14ac:dyDescent="0.2">
      <c r="B790" s="66"/>
      <c r="C790" s="46">
        <f t="shared" ca="1" si="89"/>
        <v>0</v>
      </c>
      <c r="D790" s="46">
        <f t="shared" ca="1" si="90"/>
        <v>860</v>
      </c>
      <c r="E790" s="74">
        <f t="shared" ca="1" si="91"/>
        <v>1</v>
      </c>
      <c r="F790">
        <f t="shared" ca="1" si="92"/>
        <v>1</v>
      </c>
      <c r="G790" s="76">
        <f t="shared" ca="1" si="93"/>
        <v>0</v>
      </c>
      <c r="H790" s="76">
        <f ca="1">SUM($G$4:G790)</f>
        <v>-25.155084302325577</v>
      </c>
      <c r="I790" s="76">
        <f t="shared" ca="1" si="94"/>
        <v>0</v>
      </c>
      <c r="J790" s="76">
        <f t="shared" ca="1" si="95"/>
        <v>0</v>
      </c>
    </row>
    <row r="791" spans="2:10" x14ac:dyDescent="0.2">
      <c r="B791" s="66"/>
      <c r="C791" s="46">
        <f t="shared" ca="1" si="89"/>
        <v>0</v>
      </c>
      <c r="D791" s="46">
        <f t="shared" ca="1" si="90"/>
        <v>860</v>
      </c>
      <c r="E791" s="74">
        <f t="shared" ca="1" si="91"/>
        <v>1</v>
      </c>
      <c r="F791">
        <f t="shared" ca="1" si="92"/>
        <v>1</v>
      </c>
      <c r="G791" s="76">
        <f t="shared" ca="1" si="93"/>
        <v>0</v>
      </c>
      <c r="H791" s="76">
        <f ca="1">SUM($G$4:G791)</f>
        <v>-25.155084302325577</v>
      </c>
      <c r="I791" s="76">
        <f t="shared" ca="1" si="94"/>
        <v>0</v>
      </c>
      <c r="J791" s="76">
        <f t="shared" ca="1" si="95"/>
        <v>0</v>
      </c>
    </row>
    <row r="792" spans="2:10" x14ac:dyDescent="0.2">
      <c r="B792" s="66"/>
      <c r="C792" s="46">
        <f t="shared" ca="1" si="89"/>
        <v>0</v>
      </c>
      <c r="D792" s="46">
        <f t="shared" ca="1" si="90"/>
        <v>860</v>
      </c>
      <c r="E792" s="74">
        <f t="shared" ca="1" si="91"/>
        <v>1</v>
      </c>
      <c r="F792">
        <f t="shared" ca="1" si="92"/>
        <v>1</v>
      </c>
      <c r="G792" s="76">
        <f t="shared" ca="1" si="93"/>
        <v>0</v>
      </c>
      <c r="H792" s="76">
        <f ca="1">SUM($G$4:G792)</f>
        <v>-25.155084302325577</v>
      </c>
      <c r="I792" s="76">
        <f t="shared" ca="1" si="94"/>
        <v>0</v>
      </c>
      <c r="J792" s="76">
        <f t="shared" ca="1" si="95"/>
        <v>0</v>
      </c>
    </row>
    <row r="793" spans="2:10" x14ac:dyDescent="0.2">
      <c r="B793" s="66"/>
      <c r="C793" s="46">
        <f t="shared" ca="1" si="89"/>
        <v>0</v>
      </c>
      <c r="D793" s="46">
        <f t="shared" ca="1" si="90"/>
        <v>860</v>
      </c>
      <c r="E793" s="74">
        <f t="shared" ca="1" si="91"/>
        <v>1</v>
      </c>
      <c r="F793">
        <f t="shared" ca="1" si="92"/>
        <v>1</v>
      </c>
      <c r="G793" s="76">
        <f t="shared" ca="1" si="93"/>
        <v>0</v>
      </c>
      <c r="H793" s="76">
        <f ca="1">SUM($G$4:G793)</f>
        <v>-25.155084302325577</v>
      </c>
      <c r="I793" s="76">
        <f t="shared" ca="1" si="94"/>
        <v>0</v>
      </c>
      <c r="J793" s="76">
        <f t="shared" ca="1" si="95"/>
        <v>0</v>
      </c>
    </row>
    <row r="794" spans="2:10" x14ac:dyDescent="0.2">
      <c r="B794" s="66"/>
      <c r="C794" s="46">
        <f t="shared" ca="1" si="89"/>
        <v>0</v>
      </c>
      <c r="D794" s="46">
        <f t="shared" ca="1" si="90"/>
        <v>860</v>
      </c>
      <c r="E794" s="74">
        <f t="shared" ca="1" si="91"/>
        <v>1</v>
      </c>
      <c r="F794">
        <f t="shared" ca="1" si="92"/>
        <v>1</v>
      </c>
      <c r="G794" s="76">
        <f t="shared" ca="1" si="93"/>
        <v>0</v>
      </c>
      <c r="H794" s="76">
        <f ca="1">SUM($G$4:G794)</f>
        <v>-25.155084302325577</v>
      </c>
      <c r="I794" s="76">
        <f t="shared" ca="1" si="94"/>
        <v>0</v>
      </c>
      <c r="J794" s="76">
        <f t="shared" ca="1" si="95"/>
        <v>0</v>
      </c>
    </row>
    <row r="795" spans="2:10" x14ac:dyDescent="0.2">
      <c r="B795" s="66"/>
      <c r="C795" s="46">
        <f t="shared" ca="1" si="89"/>
        <v>0</v>
      </c>
      <c r="D795" s="46">
        <f t="shared" ca="1" si="90"/>
        <v>860</v>
      </c>
      <c r="E795" s="74">
        <f t="shared" ca="1" si="91"/>
        <v>1</v>
      </c>
      <c r="F795">
        <f t="shared" ca="1" si="92"/>
        <v>1</v>
      </c>
      <c r="G795" s="76">
        <f t="shared" ca="1" si="93"/>
        <v>0</v>
      </c>
      <c r="H795" s="76">
        <f ca="1">SUM($G$4:G795)</f>
        <v>-25.155084302325577</v>
      </c>
      <c r="I795" s="76">
        <f t="shared" ca="1" si="94"/>
        <v>0</v>
      </c>
      <c r="J795" s="76">
        <f t="shared" ca="1" si="95"/>
        <v>0</v>
      </c>
    </row>
    <row r="796" spans="2:10" x14ac:dyDescent="0.2">
      <c r="B796" s="66"/>
      <c r="C796" s="46">
        <f t="shared" ca="1" si="89"/>
        <v>0</v>
      </c>
      <c r="D796" s="46">
        <f t="shared" ca="1" si="90"/>
        <v>860</v>
      </c>
      <c r="E796" s="74">
        <f t="shared" ca="1" si="91"/>
        <v>1</v>
      </c>
      <c r="F796">
        <f t="shared" ca="1" si="92"/>
        <v>1</v>
      </c>
      <c r="G796" s="76">
        <f t="shared" ca="1" si="93"/>
        <v>0</v>
      </c>
      <c r="H796" s="76">
        <f ca="1">SUM($G$4:G796)</f>
        <v>-25.155084302325577</v>
      </c>
      <c r="I796" s="76">
        <f t="shared" ca="1" si="94"/>
        <v>0</v>
      </c>
      <c r="J796" s="76">
        <f t="shared" ca="1" si="95"/>
        <v>0</v>
      </c>
    </row>
    <row r="797" spans="2:10" x14ac:dyDescent="0.2">
      <c r="B797" s="66"/>
      <c r="C797" s="46">
        <f t="shared" ca="1" si="89"/>
        <v>0</v>
      </c>
      <c r="D797" s="46">
        <f t="shared" ca="1" si="90"/>
        <v>860</v>
      </c>
      <c r="E797" s="74">
        <f t="shared" ca="1" si="91"/>
        <v>1</v>
      </c>
      <c r="F797">
        <f t="shared" ca="1" si="92"/>
        <v>1</v>
      </c>
      <c r="G797" s="76">
        <f t="shared" ca="1" si="93"/>
        <v>0</v>
      </c>
      <c r="H797" s="76">
        <f ca="1">SUM($G$4:G797)</f>
        <v>-25.155084302325577</v>
      </c>
      <c r="I797" s="76">
        <f t="shared" ca="1" si="94"/>
        <v>0</v>
      </c>
      <c r="J797" s="76">
        <f t="shared" ca="1" si="95"/>
        <v>0</v>
      </c>
    </row>
    <row r="798" spans="2:10" x14ac:dyDescent="0.2">
      <c r="B798" s="66"/>
      <c r="C798" s="46">
        <f t="shared" ca="1" si="89"/>
        <v>0</v>
      </c>
      <c r="D798" s="46">
        <f t="shared" ca="1" si="90"/>
        <v>860</v>
      </c>
      <c r="E798" s="74">
        <f t="shared" ca="1" si="91"/>
        <v>1</v>
      </c>
      <c r="F798">
        <f t="shared" ca="1" si="92"/>
        <v>1</v>
      </c>
      <c r="G798" s="76">
        <f t="shared" ca="1" si="93"/>
        <v>0</v>
      </c>
      <c r="H798" s="76">
        <f ca="1">SUM($G$4:G798)</f>
        <v>-25.155084302325577</v>
      </c>
      <c r="I798" s="76">
        <f t="shared" ca="1" si="94"/>
        <v>0</v>
      </c>
      <c r="J798" s="76">
        <f t="shared" ca="1" si="95"/>
        <v>0</v>
      </c>
    </row>
    <row r="799" spans="2:10" x14ac:dyDescent="0.2">
      <c r="B799" s="66"/>
      <c r="C799" s="46">
        <f t="shared" ca="1" si="89"/>
        <v>0</v>
      </c>
      <c r="D799" s="46">
        <f t="shared" ca="1" si="90"/>
        <v>860</v>
      </c>
      <c r="E799" s="74">
        <f t="shared" ca="1" si="91"/>
        <v>1</v>
      </c>
      <c r="F799">
        <f t="shared" ca="1" si="92"/>
        <v>1</v>
      </c>
      <c r="G799" s="76">
        <f t="shared" ca="1" si="93"/>
        <v>0</v>
      </c>
      <c r="H799" s="76">
        <f ca="1">SUM($G$4:G799)</f>
        <v>-25.155084302325577</v>
      </c>
      <c r="I799" s="76">
        <f t="shared" ca="1" si="94"/>
        <v>0</v>
      </c>
      <c r="J799" s="76">
        <f t="shared" ca="1" si="95"/>
        <v>0</v>
      </c>
    </row>
    <row r="800" spans="2:10" x14ac:dyDescent="0.2">
      <c r="B800" s="66"/>
      <c r="C800" s="46">
        <f t="shared" ca="1" si="89"/>
        <v>0</v>
      </c>
      <c r="D800" s="46">
        <f t="shared" ca="1" si="90"/>
        <v>860</v>
      </c>
      <c r="E800" s="74">
        <f t="shared" ca="1" si="91"/>
        <v>1</v>
      </c>
      <c r="F800">
        <f t="shared" ca="1" si="92"/>
        <v>1</v>
      </c>
      <c r="G800" s="76">
        <f t="shared" ca="1" si="93"/>
        <v>0</v>
      </c>
      <c r="H800" s="76">
        <f ca="1">SUM($G$4:G800)</f>
        <v>-25.155084302325577</v>
      </c>
      <c r="I800" s="76">
        <f t="shared" ca="1" si="94"/>
        <v>0</v>
      </c>
      <c r="J800" s="76">
        <f t="shared" ca="1" si="95"/>
        <v>0</v>
      </c>
    </row>
    <row r="801" spans="2:10" x14ac:dyDescent="0.2">
      <c r="B801" s="66"/>
      <c r="C801" s="46">
        <f t="shared" ca="1" si="89"/>
        <v>0</v>
      </c>
      <c r="D801" s="46">
        <f t="shared" ca="1" si="90"/>
        <v>860</v>
      </c>
      <c r="E801" s="74">
        <f t="shared" ca="1" si="91"/>
        <v>1</v>
      </c>
      <c r="F801">
        <f t="shared" ca="1" si="92"/>
        <v>1</v>
      </c>
      <c r="G801" s="76">
        <f t="shared" ca="1" si="93"/>
        <v>0</v>
      </c>
      <c r="H801" s="76">
        <f ca="1">SUM($G$4:G801)</f>
        <v>-25.155084302325577</v>
      </c>
      <c r="I801" s="76">
        <f t="shared" ca="1" si="94"/>
        <v>0</v>
      </c>
      <c r="J801" s="76">
        <f t="shared" ca="1" si="95"/>
        <v>0</v>
      </c>
    </row>
    <row r="802" spans="2:10" x14ac:dyDescent="0.2">
      <c r="B802" s="66"/>
      <c r="C802" s="46">
        <f t="shared" ca="1" si="89"/>
        <v>0</v>
      </c>
      <c r="D802" s="46">
        <f t="shared" ca="1" si="90"/>
        <v>860</v>
      </c>
      <c r="E802" s="74">
        <f t="shared" ca="1" si="91"/>
        <v>1</v>
      </c>
      <c r="F802">
        <f t="shared" ca="1" si="92"/>
        <v>1</v>
      </c>
      <c r="G802" s="76">
        <f t="shared" ca="1" si="93"/>
        <v>0</v>
      </c>
      <c r="H802" s="76">
        <f ca="1">SUM($G$4:G802)</f>
        <v>-25.155084302325577</v>
      </c>
      <c r="I802" s="76">
        <f t="shared" ca="1" si="94"/>
        <v>0</v>
      </c>
      <c r="J802" s="76">
        <f t="shared" ca="1" si="95"/>
        <v>0</v>
      </c>
    </row>
    <row r="803" spans="2:10" x14ac:dyDescent="0.2">
      <c r="B803" s="66"/>
      <c r="C803" s="46">
        <f t="shared" ca="1" si="89"/>
        <v>0</v>
      </c>
      <c r="D803" s="46">
        <f t="shared" ca="1" si="90"/>
        <v>860</v>
      </c>
      <c r="E803" s="74">
        <f t="shared" ca="1" si="91"/>
        <v>1</v>
      </c>
      <c r="F803">
        <f t="shared" ca="1" si="92"/>
        <v>1</v>
      </c>
      <c r="G803" s="76">
        <f t="shared" ca="1" si="93"/>
        <v>0</v>
      </c>
      <c r="H803" s="76">
        <f ca="1">SUM($G$4:G803)</f>
        <v>-25.155084302325577</v>
      </c>
      <c r="I803" s="76">
        <f t="shared" ca="1" si="94"/>
        <v>0</v>
      </c>
      <c r="J803" s="76">
        <f t="shared" ca="1" si="95"/>
        <v>0</v>
      </c>
    </row>
    <row r="804" spans="2:10" x14ac:dyDescent="0.2">
      <c r="B804" s="66"/>
      <c r="C804" s="46">
        <f t="shared" ca="1" si="89"/>
        <v>0</v>
      </c>
      <c r="D804" s="46">
        <f t="shared" ca="1" si="90"/>
        <v>860</v>
      </c>
      <c r="E804" s="74">
        <f t="shared" ca="1" si="91"/>
        <v>1</v>
      </c>
      <c r="F804">
        <f t="shared" ca="1" si="92"/>
        <v>1</v>
      </c>
      <c r="G804" s="76">
        <f t="shared" ca="1" si="93"/>
        <v>0</v>
      </c>
      <c r="H804" s="76">
        <f ca="1">SUM($G$4:G804)</f>
        <v>-25.155084302325577</v>
      </c>
      <c r="I804" s="76">
        <f t="shared" ca="1" si="94"/>
        <v>0</v>
      </c>
      <c r="J804" s="76">
        <f t="shared" ca="1" si="95"/>
        <v>0</v>
      </c>
    </row>
    <row r="805" spans="2:10" x14ac:dyDescent="0.2">
      <c r="B805" s="66"/>
      <c r="C805" s="46">
        <f t="shared" ca="1" si="89"/>
        <v>0</v>
      </c>
      <c r="D805" s="46">
        <f t="shared" ca="1" si="90"/>
        <v>860</v>
      </c>
      <c r="E805" s="74">
        <f t="shared" ca="1" si="91"/>
        <v>1</v>
      </c>
      <c r="F805">
        <f t="shared" ca="1" si="92"/>
        <v>1</v>
      </c>
      <c r="G805" s="76">
        <f t="shared" ca="1" si="93"/>
        <v>0</v>
      </c>
      <c r="H805" s="76">
        <f ca="1">SUM($G$4:G805)</f>
        <v>-25.155084302325577</v>
      </c>
      <c r="I805" s="76">
        <f t="shared" ca="1" si="94"/>
        <v>0</v>
      </c>
      <c r="J805" s="76">
        <f t="shared" ca="1" si="95"/>
        <v>0</v>
      </c>
    </row>
    <row r="806" spans="2:10" x14ac:dyDescent="0.2">
      <c r="B806" s="66"/>
      <c r="C806" s="46">
        <f t="shared" ca="1" si="89"/>
        <v>0</v>
      </c>
      <c r="D806" s="46">
        <f t="shared" ca="1" si="90"/>
        <v>860</v>
      </c>
      <c r="E806" s="74">
        <f t="shared" ca="1" si="91"/>
        <v>1</v>
      </c>
      <c r="F806">
        <f t="shared" ca="1" si="92"/>
        <v>1</v>
      </c>
      <c r="G806" s="76">
        <f t="shared" ca="1" si="93"/>
        <v>0</v>
      </c>
      <c r="H806" s="76">
        <f ca="1">SUM($G$4:G806)</f>
        <v>-25.155084302325577</v>
      </c>
      <c r="I806" s="76">
        <f t="shared" ca="1" si="94"/>
        <v>0</v>
      </c>
      <c r="J806" s="76">
        <f t="shared" ca="1" si="95"/>
        <v>0</v>
      </c>
    </row>
    <row r="807" spans="2:10" x14ac:dyDescent="0.2">
      <c r="B807" s="66"/>
      <c r="C807" s="46">
        <f t="shared" ca="1" si="89"/>
        <v>0</v>
      </c>
      <c r="D807" s="46">
        <f t="shared" ca="1" si="90"/>
        <v>860</v>
      </c>
      <c r="E807" s="74">
        <f t="shared" ca="1" si="91"/>
        <v>1</v>
      </c>
      <c r="F807">
        <f t="shared" ca="1" si="92"/>
        <v>1</v>
      </c>
      <c r="G807" s="76">
        <f t="shared" ca="1" si="93"/>
        <v>0</v>
      </c>
      <c r="H807" s="76">
        <f ca="1">SUM($G$4:G807)</f>
        <v>-25.155084302325577</v>
      </c>
      <c r="I807" s="76">
        <f t="shared" ca="1" si="94"/>
        <v>0</v>
      </c>
      <c r="J807" s="76">
        <f t="shared" ca="1" si="95"/>
        <v>0</v>
      </c>
    </row>
    <row r="808" spans="2:10" x14ac:dyDescent="0.2">
      <c r="B808" s="66"/>
      <c r="C808" s="46">
        <f t="shared" ca="1" si="89"/>
        <v>0</v>
      </c>
      <c r="D808" s="46">
        <f t="shared" ca="1" si="90"/>
        <v>860</v>
      </c>
      <c r="E808" s="74">
        <f t="shared" ca="1" si="91"/>
        <v>1</v>
      </c>
      <c r="F808">
        <f t="shared" ca="1" si="92"/>
        <v>1</v>
      </c>
      <c r="G808" s="76">
        <f t="shared" ca="1" si="93"/>
        <v>0</v>
      </c>
      <c r="H808" s="76">
        <f ca="1">SUM($G$4:G808)</f>
        <v>-25.155084302325577</v>
      </c>
      <c r="I808" s="76">
        <f t="shared" ca="1" si="94"/>
        <v>0</v>
      </c>
      <c r="J808" s="76">
        <f t="shared" ca="1" si="95"/>
        <v>0</v>
      </c>
    </row>
    <row r="809" spans="2:10" x14ac:dyDescent="0.2">
      <c r="B809" s="66"/>
      <c r="C809" s="46">
        <f t="shared" ca="1" si="89"/>
        <v>0</v>
      </c>
      <c r="D809" s="46">
        <f t="shared" ca="1" si="90"/>
        <v>860</v>
      </c>
      <c r="E809" s="74">
        <f t="shared" ca="1" si="91"/>
        <v>1</v>
      </c>
      <c r="F809">
        <f t="shared" ca="1" si="92"/>
        <v>1</v>
      </c>
      <c r="G809" s="76">
        <f t="shared" ca="1" si="93"/>
        <v>0</v>
      </c>
      <c r="H809" s="76">
        <f ca="1">SUM($G$4:G809)</f>
        <v>-25.155084302325577</v>
      </c>
      <c r="I809" s="76">
        <f t="shared" ca="1" si="94"/>
        <v>0</v>
      </c>
      <c r="J809" s="76">
        <f t="shared" ca="1" si="95"/>
        <v>0</v>
      </c>
    </row>
    <row r="810" spans="2:10" x14ac:dyDescent="0.2">
      <c r="B810" s="66"/>
      <c r="C810" s="46">
        <f t="shared" ca="1" si="89"/>
        <v>0</v>
      </c>
      <c r="D810" s="46">
        <f t="shared" ca="1" si="90"/>
        <v>860</v>
      </c>
      <c r="E810" s="74">
        <f t="shared" ca="1" si="91"/>
        <v>1</v>
      </c>
      <c r="F810">
        <f t="shared" ca="1" si="92"/>
        <v>1</v>
      </c>
      <c r="G810" s="76">
        <f t="shared" ca="1" si="93"/>
        <v>0</v>
      </c>
      <c r="H810" s="76">
        <f ca="1">SUM($G$4:G810)</f>
        <v>-25.155084302325577</v>
      </c>
      <c r="I810" s="76">
        <f t="shared" ca="1" si="94"/>
        <v>0</v>
      </c>
      <c r="J810" s="76">
        <f t="shared" ca="1" si="95"/>
        <v>0</v>
      </c>
    </row>
    <row r="811" spans="2:10" x14ac:dyDescent="0.2">
      <c r="B811" s="66"/>
      <c r="C811" s="46">
        <f t="shared" ca="1" si="89"/>
        <v>0</v>
      </c>
      <c r="D811" s="46">
        <f t="shared" ca="1" si="90"/>
        <v>860</v>
      </c>
      <c r="E811" s="74">
        <f t="shared" ca="1" si="91"/>
        <v>1</v>
      </c>
      <c r="F811">
        <f t="shared" ca="1" si="92"/>
        <v>1</v>
      </c>
      <c r="G811" s="76">
        <f t="shared" ca="1" si="93"/>
        <v>0</v>
      </c>
      <c r="H811" s="76">
        <f ca="1">SUM($G$4:G811)</f>
        <v>-25.155084302325577</v>
      </c>
      <c r="I811" s="76">
        <f t="shared" ca="1" si="94"/>
        <v>0</v>
      </c>
      <c r="J811" s="76">
        <f t="shared" ca="1" si="95"/>
        <v>0</v>
      </c>
    </row>
    <row r="812" spans="2:10" x14ac:dyDescent="0.2">
      <c r="B812" s="66"/>
      <c r="C812" s="46">
        <f t="shared" ca="1" si="89"/>
        <v>0</v>
      </c>
      <c r="D812" s="46">
        <f t="shared" ca="1" si="90"/>
        <v>860</v>
      </c>
      <c r="E812" s="74">
        <f t="shared" ca="1" si="91"/>
        <v>1</v>
      </c>
      <c r="F812">
        <f t="shared" ca="1" si="92"/>
        <v>1</v>
      </c>
      <c r="G812" s="76">
        <f t="shared" ca="1" si="93"/>
        <v>0</v>
      </c>
      <c r="H812" s="76">
        <f ca="1">SUM($G$4:G812)</f>
        <v>-25.155084302325577</v>
      </c>
      <c r="I812" s="76">
        <f t="shared" ca="1" si="94"/>
        <v>0</v>
      </c>
      <c r="J812" s="76">
        <f t="shared" ca="1" si="95"/>
        <v>0</v>
      </c>
    </row>
    <row r="813" spans="2:10" x14ac:dyDescent="0.2">
      <c r="B813" s="66"/>
      <c r="C813" s="46">
        <f t="shared" ca="1" si="89"/>
        <v>0</v>
      </c>
      <c r="D813" s="46">
        <f t="shared" ca="1" si="90"/>
        <v>860</v>
      </c>
      <c r="E813" s="74">
        <f t="shared" ca="1" si="91"/>
        <v>1</v>
      </c>
      <c r="F813">
        <f t="shared" ca="1" si="92"/>
        <v>1</v>
      </c>
      <c r="G813" s="76">
        <f t="shared" ca="1" si="93"/>
        <v>0</v>
      </c>
      <c r="H813" s="76">
        <f ca="1">SUM($G$4:G813)</f>
        <v>-25.155084302325577</v>
      </c>
      <c r="I813" s="76">
        <f t="shared" ca="1" si="94"/>
        <v>0</v>
      </c>
      <c r="J813" s="76">
        <f t="shared" ca="1" si="95"/>
        <v>0</v>
      </c>
    </row>
    <row r="814" spans="2:10" x14ac:dyDescent="0.2">
      <c r="B814" s="66"/>
      <c r="C814" s="46">
        <f t="shared" ca="1" si="89"/>
        <v>0</v>
      </c>
      <c r="D814" s="46">
        <f t="shared" ca="1" si="90"/>
        <v>860</v>
      </c>
      <c r="E814" s="74">
        <f t="shared" ca="1" si="91"/>
        <v>1</v>
      </c>
      <c r="F814">
        <f t="shared" ca="1" si="92"/>
        <v>1</v>
      </c>
      <c r="G814" s="76">
        <f t="shared" ca="1" si="93"/>
        <v>0</v>
      </c>
      <c r="H814" s="76">
        <f ca="1">SUM($G$4:G814)</f>
        <v>-25.155084302325577</v>
      </c>
      <c r="I814" s="76">
        <f t="shared" ca="1" si="94"/>
        <v>0</v>
      </c>
      <c r="J814" s="76">
        <f t="shared" ca="1" si="95"/>
        <v>0</v>
      </c>
    </row>
    <row r="815" spans="2:10" x14ac:dyDescent="0.2">
      <c r="B815" s="66"/>
      <c r="C815" s="46">
        <f t="shared" ca="1" si="89"/>
        <v>0</v>
      </c>
      <c r="D815" s="46">
        <f t="shared" ca="1" si="90"/>
        <v>860</v>
      </c>
      <c r="E815" s="74">
        <f t="shared" ca="1" si="91"/>
        <v>1</v>
      </c>
      <c r="F815">
        <f t="shared" ca="1" si="92"/>
        <v>1</v>
      </c>
      <c r="G815" s="76">
        <f t="shared" ca="1" si="93"/>
        <v>0</v>
      </c>
      <c r="H815" s="76">
        <f ca="1">SUM($G$4:G815)</f>
        <v>-25.155084302325577</v>
      </c>
      <c r="I815" s="76">
        <f t="shared" ca="1" si="94"/>
        <v>0</v>
      </c>
      <c r="J815" s="76">
        <f t="shared" ca="1" si="95"/>
        <v>0</v>
      </c>
    </row>
    <row r="816" spans="2:10" x14ac:dyDescent="0.2">
      <c r="B816" s="66"/>
      <c r="C816" s="46">
        <f t="shared" ca="1" si="89"/>
        <v>0</v>
      </c>
      <c r="D816" s="46">
        <f t="shared" ca="1" si="90"/>
        <v>860</v>
      </c>
      <c r="E816" s="74">
        <f t="shared" ca="1" si="91"/>
        <v>1</v>
      </c>
      <c r="F816">
        <f t="shared" ca="1" si="92"/>
        <v>1</v>
      </c>
      <c r="G816" s="76">
        <f t="shared" ca="1" si="93"/>
        <v>0</v>
      </c>
      <c r="H816" s="76">
        <f ca="1">SUM($G$4:G816)</f>
        <v>-25.155084302325577</v>
      </c>
      <c r="I816" s="76">
        <f t="shared" ca="1" si="94"/>
        <v>0</v>
      </c>
      <c r="J816" s="76">
        <f t="shared" ca="1" si="95"/>
        <v>0</v>
      </c>
    </row>
    <row r="817" spans="2:10" x14ac:dyDescent="0.2">
      <c r="B817" s="66"/>
      <c r="C817" s="46">
        <f t="shared" ca="1" si="89"/>
        <v>0</v>
      </c>
      <c r="D817" s="46">
        <f t="shared" ca="1" si="90"/>
        <v>860</v>
      </c>
      <c r="E817" s="74">
        <f t="shared" ca="1" si="91"/>
        <v>1</v>
      </c>
      <c r="F817">
        <f t="shared" ca="1" si="92"/>
        <v>1</v>
      </c>
      <c r="G817" s="76">
        <f t="shared" ca="1" si="93"/>
        <v>0</v>
      </c>
      <c r="H817" s="76">
        <f ca="1">SUM($G$4:G817)</f>
        <v>-25.155084302325577</v>
      </c>
      <c r="I817" s="76">
        <f t="shared" ca="1" si="94"/>
        <v>0</v>
      </c>
      <c r="J817" s="76">
        <f t="shared" ca="1" si="95"/>
        <v>0</v>
      </c>
    </row>
    <row r="818" spans="2:10" x14ac:dyDescent="0.2">
      <c r="B818" s="66"/>
      <c r="C818" s="46">
        <f t="shared" ca="1" si="89"/>
        <v>0</v>
      </c>
      <c r="D818" s="46">
        <f t="shared" ca="1" si="90"/>
        <v>860</v>
      </c>
      <c r="E818" s="74">
        <f t="shared" ca="1" si="91"/>
        <v>1</v>
      </c>
      <c r="F818">
        <f t="shared" ca="1" si="92"/>
        <v>1</v>
      </c>
      <c r="G818" s="76">
        <f t="shared" ca="1" si="93"/>
        <v>0</v>
      </c>
      <c r="H818" s="76">
        <f ca="1">SUM($G$4:G818)</f>
        <v>-25.155084302325577</v>
      </c>
      <c r="I818" s="76">
        <f t="shared" ca="1" si="94"/>
        <v>0</v>
      </c>
      <c r="J818" s="76">
        <f t="shared" ca="1" si="95"/>
        <v>0</v>
      </c>
    </row>
    <row r="819" spans="2:10" x14ac:dyDescent="0.2">
      <c r="B819" s="66"/>
      <c r="C819" s="46">
        <f t="shared" ca="1" si="89"/>
        <v>0</v>
      </c>
      <c r="D819" s="46">
        <f t="shared" ca="1" si="90"/>
        <v>860</v>
      </c>
      <c r="E819" s="74">
        <f t="shared" ca="1" si="91"/>
        <v>1</v>
      </c>
      <c r="F819">
        <f t="shared" ca="1" si="92"/>
        <v>1</v>
      </c>
      <c r="G819" s="76">
        <f t="shared" ca="1" si="93"/>
        <v>0</v>
      </c>
      <c r="H819" s="76">
        <f ca="1">SUM($G$4:G819)</f>
        <v>-25.155084302325577</v>
      </c>
      <c r="I819" s="76">
        <f t="shared" ca="1" si="94"/>
        <v>0</v>
      </c>
      <c r="J819" s="76">
        <f t="shared" ca="1" si="95"/>
        <v>0</v>
      </c>
    </row>
    <row r="820" spans="2:10" x14ac:dyDescent="0.2">
      <c r="B820" s="66"/>
      <c r="C820" s="46">
        <f t="shared" ca="1" si="89"/>
        <v>0</v>
      </c>
      <c r="D820" s="46">
        <f t="shared" ca="1" si="90"/>
        <v>860</v>
      </c>
      <c r="E820" s="74">
        <f t="shared" ca="1" si="91"/>
        <v>1</v>
      </c>
      <c r="F820">
        <f t="shared" ca="1" si="92"/>
        <v>1</v>
      </c>
      <c r="G820" s="76">
        <f t="shared" ca="1" si="93"/>
        <v>0</v>
      </c>
      <c r="H820" s="76">
        <f ca="1">SUM($G$4:G820)</f>
        <v>-25.155084302325577</v>
      </c>
      <c r="I820" s="76">
        <f t="shared" ca="1" si="94"/>
        <v>0</v>
      </c>
      <c r="J820" s="76">
        <f t="shared" ca="1" si="95"/>
        <v>0</v>
      </c>
    </row>
    <row r="821" spans="2:10" x14ac:dyDescent="0.2">
      <c r="B821" s="66"/>
      <c r="C821" s="46">
        <f t="shared" ca="1" si="89"/>
        <v>0</v>
      </c>
      <c r="D821" s="46">
        <f t="shared" ca="1" si="90"/>
        <v>860</v>
      </c>
      <c r="E821" s="74">
        <f t="shared" ca="1" si="91"/>
        <v>1</v>
      </c>
      <c r="F821">
        <f t="shared" ca="1" si="92"/>
        <v>1</v>
      </c>
      <c r="G821" s="76">
        <f t="shared" ca="1" si="93"/>
        <v>0</v>
      </c>
      <c r="H821" s="76">
        <f ca="1">SUM($G$4:G821)</f>
        <v>-25.155084302325577</v>
      </c>
      <c r="I821" s="76">
        <f t="shared" ca="1" si="94"/>
        <v>0</v>
      </c>
      <c r="J821" s="76">
        <f t="shared" ca="1" si="95"/>
        <v>0</v>
      </c>
    </row>
    <row r="822" spans="2:10" x14ac:dyDescent="0.2">
      <c r="B822" s="66"/>
      <c r="C822" s="46">
        <f t="shared" ca="1" si="89"/>
        <v>0</v>
      </c>
      <c r="D822" s="46">
        <f t="shared" ca="1" si="90"/>
        <v>860</v>
      </c>
      <c r="E822" s="74">
        <f t="shared" ca="1" si="91"/>
        <v>1</v>
      </c>
      <c r="F822">
        <f t="shared" ca="1" si="92"/>
        <v>1</v>
      </c>
      <c r="G822" s="76">
        <f t="shared" ca="1" si="93"/>
        <v>0</v>
      </c>
      <c r="H822" s="76">
        <f ca="1">SUM($G$4:G822)</f>
        <v>-25.155084302325577</v>
      </c>
      <c r="I822" s="76">
        <f t="shared" ca="1" si="94"/>
        <v>0</v>
      </c>
      <c r="J822" s="76">
        <f t="shared" ca="1" si="95"/>
        <v>0</v>
      </c>
    </row>
    <row r="823" spans="2:10" x14ac:dyDescent="0.2">
      <c r="B823" s="66"/>
      <c r="C823" s="46">
        <f t="shared" ca="1" si="89"/>
        <v>0</v>
      </c>
      <c r="D823" s="46">
        <f t="shared" ca="1" si="90"/>
        <v>860</v>
      </c>
      <c r="E823" s="74">
        <f t="shared" ca="1" si="91"/>
        <v>1</v>
      </c>
      <c r="F823">
        <f t="shared" ca="1" si="92"/>
        <v>1</v>
      </c>
      <c r="G823" s="76">
        <f t="shared" ca="1" si="93"/>
        <v>0</v>
      </c>
      <c r="H823" s="76">
        <f ca="1">SUM($G$4:G823)</f>
        <v>-25.155084302325577</v>
      </c>
      <c r="I823" s="76">
        <f t="shared" ca="1" si="94"/>
        <v>0</v>
      </c>
      <c r="J823" s="76">
        <f t="shared" ca="1" si="95"/>
        <v>0</v>
      </c>
    </row>
    <row r="824" spans="2:10" x14ac:dyDescent="0.2">
      <c r="B824" s="66"/>
      <c r="C824" s="46">
        <f t="shared" ca="1" si="89"/>
        <v>0</v>
      </c>
      <c r="D824" s="46">
        <f t="shared" ca="1" si="90"/>
        <v>860</v>
      </c>
      <c r="E824" s="74">
        <f t="shared" ca="1" si="91"/>
        <v>1</v>
      </c>
      <c r="F824">
        <f t="shared" ca="1" si="92"/>
        <v>1</v>
      </c>
      <c r="G824" s="76">
        <f t="shared" ca="1" si="93"/>
        <v>0</v>
      </c>
      <c r="H824" s="76">
        <f ca="1">SUM($G$4:G824)</f>
        <v>-25.155084302325577</v>
      </c>
      <c r="I824" s="76">
        <f t="shared" ca="1" si="94"/>
        <v>0</v>
      </c>
      <c r="J824" s="76">
        <f t="shared" ca="1" si="95"/>
        <v>0</v>
      </c>
    </row>
    <row r="825" spans="2:10" x14ac:dyDescent="0.2">
      <c r="B825" s="66"/>
      <c r="C825" s="46">
        <f t="shared" ca="1" si="89"/>
        <v>0</v>
      </c>
      <c r="D825" s="46">
        <f t="shared" ca="1" si="90"/>
        <v>860</v>
      </c>
      <c r="E825" s="74">
        <f t="shared" ca="1" si="91"/>
        <v>1</v>
      </c>
      <c r="F825">
        <f t="shared" ca="1" si="92"/>
        <v>1</v>
      </c>
      <c r="G825" s="76">
        <f t="shared" ca="1" si="93"/>
        <v>0</v>
      </c>
      <c r="H825" s="76">
        <f ca="1">SUM($G$4:G825)</f>
        <v>-25.155084302325577</v>
      </c>
      <c r="I825" s="76">
        <f t="shared" ca="1" si="94"/>
        <v>0</v>
      </c>
      <c r="J825" s="76">
        <f t="shared" ca="1" si="95"/>
        <v>0</v>
      </c>
    </row>
    <row r="826" spans="2:10" x14ac:dyDescent="0.2">
      <c r="B826" s="66"/>
      <c r="C826" s="46">
        <f t="shared" ca="1" si="89"/>
        <v>0</v>
      </c>
      <c r="D826" s="46">
        <f t="shared" ca="1" si="90"/>
        <v>860</v>
      </c>
      <c r="E826" s="74">
        <f t="shared" ca="1" si="91"/>
        <v>1</v>
      </c>
      <c r="F826">
        <f t="shared" ca="1" si="92"/>
        <v>1</v>
      </c>
      <c r="G826" s="76">
        <f t="shared" ca="1" si="93"/>
        <v>0</v>
      </c>
      <c r="H826" s="76">
        <f ca="1">SUM($G$4:G826)</f>
        <v>-25.155084302325577</v>
      </c>
      <c r="I826" s="76">
        <f t="shared" ca="1" si="94"/>
        <v>0</v>
      </c>
      <c r="J826" s="76">
        <f t="shared" ca="1" si="95"/>
        <v>0</v>
      </c>
    </row>
    <row r="827" spans="2:10" x14ac:dyDescent="0.2">
      <c r="B827" s="66"/>
      <c r="C827" s="46">
        <f t="shared" ca="1" si="89"/>
        <v>0</v>
      </c>
      <c r="D827" s="46">
        <f t="shared" ca="1" si="90"/>
        <v>860</v>
      </c>
      <c r="E827" s="74">
        <f t="shared" ca="1" si="91"/>
        <v>1</v>
      </c>
      <c r="F827">
        <f t="shared" ca="1" si="92"/>
        <v>1</v>
      </c>
      <c r="G827" s="76">
        <f t="shared" ca="1" si="93"/>
        <v>0</v>
      </c>
      <c r="H827" s="76">
        <f ca="1">SUM($G$4:G827)</f>
        <v>-25.155084302325577</v>
      </c>
      <c r="I827" s="76">
        <f t="shared" ca="1" si="94"/>
        <v>0</v>
      </c>
      <c r="J827" s="76">
        <f t="shared" ca="1" si="95"/>
        <v>0</v>
      </c>
    </row>
    <row r="828" spans="2:10" x14ac:dyDescent="0.2">
      <c r="B828" s="66"/>
      <c r="C828" s="46">
        <f t="shared" ca="1" si="89"/>
        <v>0</v>
      </c>
      <c r="D828" s="46">
        <f t="shared" ca="1" si="90"/>
        <v>860</v>
      </c>
      <c r="E828" s="74">
        <f t="shared" ca="1" si="91"/>
        <v>1</v>
      </c>
      <c r="F828">
        <f t="shared" ca="1" si="92"/>
        <v>1</v>
      </c>
      <c r="G828" s="76">
        <f t="shared" ca="1" si="93"/>
        <v>0</v>
      </c>
      <c r="H828" s="76">
        <f ca="1">SUM($G$4:G828)</f>
        <v>-25.155084302325577</v>
      </c>
      <c r="I828" s="76">
        <f t="shared" ca="1" si="94"/>
        <v>0</v>
      </c>
      <c r="J828" s="76">
        <f t="shared" ca="1" si="95"/>
        <v>0</v>
      </c>
    </row>
    <row r="829" spans="2:10" x14ac:dyDescent="0.2">
      <c r="B829" s="66"/>
      <c r="C829" s="46">
        <f t="shared" ca="1" si="89"/>
        <v>0</v>
      </c>
      <c r="D829" s="46">
        <f t="shared" ca="1" si="90"/>
        <v>860</v>
      </c>
      <c r="E829" s="74">
        <f t="shared" ca="1" si="91"/>
        <v>1</v>
      </c>
      <c r="F829">
        <f t="shared" ca="1" si="92"/>
        <v>1</v>
      </c>
      <c r="G829" s="76">
        <f t="shared" ca="1" si="93"/>
        <v>0</v>
      </c>
      <c r="H829" s="76">
        <f ca="1">SUM($G$4:G829)</f>
        <v>-25.155084302325577</v>
      </c>
      <c r="I829" s="76">
        <f t="shared" ca="1" si="94"/>
        <v>0</v>
      </c>
      <c r="J829" s="76">
        <f t="shared" ca="1" si="95"/>
        <v>0</v>
      </c>
    </row>
    <row r="830" spans="2:10" x14ac:dyDescent="0.2">
      <c r="B830" s="66"/>
      <c r="C830" s="46">
        <f t="shared" ca="1" si="89"/>
        <v>0</v>
      </c>
      <c r="D830" s="46">
        <f t="shared" ca="1" si="90"/>
        <v>860</v>
      </c>
      <c r="E830" s="74">
        <f t="shared" ca="1" si="91"/>
        <v>1</v>
      </c>
      <c r="F830">
        <f t="shared" ca="1" si="92"/>
        <v>1</v>
      </c>
      <c r="G830" s="76">
        <f t="shared" ca="1" si="93"/>
        <v>0</v>
      </c>
      <c r="H830" s="76">
        <f ca="1">SUM($G$4:G830)</f>
        <v>-25.155084302325577</v>
      </c>
      <c r="I830" s="76">
        <f t="shared" ca="1" si="94"/>
        <v>0</v>
      </c>
      <c r="J830" s="76">
        <f t="shared" ca="1" si="95"/>
        <v>0</v>
      </c>
    </row>
    <row r="831" spans="2:10" x14ac:dyDescent="0.2">
      <c r="B831" s="66"/>
      <c r="C831" s="46">
        <f t="shared" ca="1" si="89"/>
        <v>0</v>
      </c>
      <c r="D831" s="46">
        <f t="shared" ca="1" si="90"/>
        <v>860</v>
      </c>
      <c r="E831" s="74">
        <f t="shared" ca="1" si="91"/>
        <v>1</v>
      </c>
      <c r="F831">
        <f t="shared" ca="1" si="92"/>
        <v>1</v>
      </c>
      <c r="G831" s="76">
        <f t="shared" ca="1" si="93"/>
        <v>0</v>
      </c>
      <c r="H831" s="76">
        <f ca="1">SUM($G$4:G831)</f>
        <v>-25.155084302325577</v>
      </c>
      <c r="I831" s="76">
        <f t="shared" ca="1" si="94"/>
        <v>0</v>
      </c>
      <c r="J831" s="76">
        <f t="shared" ca="1" si="95"/>
        <v>0</v>
      </c>
    </row>
    <row r="832" spans="2:10" x14ac:dyDescent="0.2">
      <c r="B832" s="66"/>
      <c r="C832" s="46">
        <f t="shared" ca="1" si="89"/>
        <v>0</v>
      </c>
      <c r="D832" s="46">
        <f t="shared" ca="1" si="90"/>
        <v>860</v>
      </c>
      <c r="E832" s="74">
        <f t="shared" ca="1" si="91"/>
        <v>1</v>
      </c>
      <c r="F832">
        <f t="shared" ca="1" si="92"/>
        <v>1</v>
      </c>
      <c r="G832" s="76">
        <f t="shared" ca="1" si="93"/>
        <v>0</v>
      </c>
      <c r="H832" s="76">
        <f ca="1">SUM($G$4:G832)</f>
        <v>-25.155084302325577</v>
      </c>
      <c r="I832" s="76">
        <f t="shared" ca="1" si="94"/>
        <v>0</v>
      </c>
      <c r="J832" s="76">
        <f t="shared" ca="1" si="95"/>
        <v>0</v>
      </c>
    </row>
    <row r="833" spans="2:10" x14ac:dyDescent="0.2">
      <c r="B833" s="66"/>
      <c r="C833" s="46">
        <f t="shared" ca="1" si="89"/>
        <v>0</v>
      </c>
      <c r="D833" s="46">
        <f t="shared" ca="1" si="90"/>
        <v>860</v>
      </c>
      <c r="E833" s="74">
        <f t="shared" ca="1" si="91"/>
        <v>1</v>
      </c>
      <c r="F833">
        <f t="shared" ca="1" si="92"/>
        <v>1</v>
      </c>
      <c r="G833" s="76">
        <f t="shared" ca="1" si="93"/>
        <v>0</v>
      </c>
      <c r="H833" s="76">
        <f ca="1">SUM($G$4:G833)</f>
        <v>-25.155084302325577</v>
      </c>
      <c r="I833" s="76">
        <f t="shared" ca="1" si="94"/>
        <v>0</v>
      </c>
      <c r="J833" s="76">
        <f t="shared" ca="1" si="95"/>
        <v>0</v>
      </c>
    </row>
    <row r="834" spans="2:10" x14ac:dyDescent="0.2">
      <c r="B834" s="66"/>
      <c r="C834" s="46">
        <f t="shared" ca="1" si="89"/>
        <v>0</v>
      </c>
      <c r="D834" s="46">
        <f t="shared" ca="1" si="90"/>
        <v>860</v>
      </c>
      <c r="E834" s="74">
        <f t="shared" ca="1" si="91"/>
        <v>1</v>
      </c>
      <c r="F834">
        <f t="shared" ca="1" si="92"/>
        <v>1</v>
      </c>
      <c r="G834" s="76">
        <f t="shared" ca="1" si="93"/>
        <v>0</v>
      </c>
      <c r="H834" s="76">
        <f ca="1">SUM($G$4:G834)</f>
        <v>-25.155084302325577</v>
      </c>
      <c r="I834" s="76">
        <f t="shared" ca="1" si="94"/>
        <v>0</v>
      </c>
      <c r="J834" s="76">
        <f t="shared" ca="1" si="95"/>
        <v>0</v>
      </c>
    </row>
    <row r="835" spans="2:10" x14ac:dyDescent="0.2">
      <c r="B835" s="66"/>
      <c r="C835" s="46">
        <f t="shared" ca="1" si="89"/>
        <v>0</v>
      </c>
      <c r="D835" s="46">
        <f t="shared" ca="1" si="90"/>
        <v>860</v>
      </c>
      <c r="E835" s="74">
        <f t="shared" ca="1" si="91"/>
        <v>1</v>
      </c>
      <c r="F835">
        <f t="shared" ca="1" si="92"/>
        <v>1</v>
      </c>
      <c r="G835" s="76">
        <f t="shared" ca="1" si="93"/>
        <v>0</v>
      </c>
      <c r="H835" s="76">
        <f ca="1">SUM($G$4:G835)</f>
        <v>-25.155084302325577</v>
      </c>
      <c r="I835" s="76">
        <f t="shared" ca="1" si="94"/>
        <v>0</v>
      </c>
      <c r="J835" s="76">
        <f t="shared" ca="1" si="95"/>
        <v>0</v>
      </c>
    </row>
    <row r="836" spans="2:10" x14ac:dyDescent="0.2">
      <c r="B836" s="66"/>
      <c r="C836" s="46">
        <f t="shared" ref="C836:C855" ca="1" si="96">COUNTIF(RAW_DATA,B836)</f>
        <v>0</v>
      </c>
      <c r="D836" s="46">
        <f t="shared" ca="1" si="90"/>
        <v>860</v>
      </c>
      <c r="E836" s="74">
        <f t="shared" ca="1" si="91"/>
        <v>1</v>
      </c>
      <c r="F836">
        <f t="shared" ca="1" si="92"/>
        <v>1</v>
      </c>
      <c r="G836" s="76">
        <f t="shared" ca="1" si="93"/>
        <v>0</v>
      </c>
      <c r="H836" s="76">
        <f ca="1">SUM($G$4:G836)</f>
        <v>-25.155084302325577</v>
      </c>
      <c r="I836" s="76">
        <f t="shared" ca="1" si="94"/>
        <v>0</v>
      </c>
      <c r="J836" s="76">
        <f t="shared" ca="1" si="95"/>
        <v>0</v>
      </c>
    </row>
    <row r="837" spans="2:10" x14ac:dyDescent="0.2">
      <c r="B837" s="66"/>
      <c r="C837" s="46">
        <f t="shared" ca="1" si="96"/>
        <v>0</v>
      </c>
      <c r="D837" s="46">
        <f t="shared" ref="D837:D855" ca="1" si="97">COUNTIF(ALL_DATA,B837)+D836</f>
        <v>860</v>
      </c>
      <c r="E837" s="74">
        <f t="shared" ref="E837:E855" ca="1" si="98">1-C837/D837</f>
        <v>1</v>
      </c>
      <c r="F837">
        <f t="shared" ref="F837:F855" ca="1" si="99">PRODUCT(E838:E1688)</f>
        <v>1</v>
      </c>
      <c r="G837" s="76">
        <f t="shared" ref="G837:G855" ca="1" si="100">(B838-B837)*F837</f>
        <v>0</v>
      </c>
      <c r="H837" s="76">
        <f ca="1">SUM($G$4:G837)</f>
        <v>-25.155084302325577</v>
      </c>
      <c r="I837" s="76">
        <f t="shared" ca="1" si="94"/>
        <v>0</v>
      </c>
      <c r="J837" s="76">
        <f t="shared" ca="1" si="95"/>
        <v>0</v>
      </c>
    </row>
    <row r="838" spans="2:10" x14ac:dyDescent="0.2">
      <c r="B838" s="66"/>
      <c r="C838" s="46">
        <f t="shared" ca="1" si="96"/>
        <v>0</v>
      </c>
      <c r="D838" s="46">
        <f t="shared" ca="1" si="97"/>
        <v>860</v>
      </c>
      <c r="E838" s="74">
        <f t="shared" ca="1" si="98"/>
        <v>1</v>
      </c>
      <c r="F838">
        <f t="shared" ca="1" si="99"/>
        <v>1</v>
      </c>
      <c r="G838" s="76">
        <f t="shared" ca="1" si="100"/>
        <v>0</v>
      </c>
      <c r="H838" s="76">
        <f ca="1">SUM($G$4:G838)</f>
        <v>-25.155084302325577</v>
      </c>
      <c r="I838" s="76">
        <f t="shared" ref="I838:I855" ca="1" si="101">B838*(F838-F837)</f>
        <v>0</v>
      </c>
      <c r="J838" s="76">
        <f t="shared" ref="J838:J854" ca="1" si="102">POWER(B838-$M$3,2)*(F838-F837)</f>
        <v>0</v>
      </c>
    </row>
    <row r="839" spans="2:10" x14ac:dyDescent="0.2">
      <c r="B839" s="66"/>
      <c r="C839" s="46">
        <f t="shared" ca="1" si="96"/>
        <v>0</v>
      </c>
      <c r="D839" s="46">
        <f t="shared" ca="1" si="97"/>
        <v>860</v>
      </c>
      <c r="E839" s="74">
        <f t="shared" ca="1" si="98"/>
        <v>1</v>
      </c>
      <c r="F839">
        <f t="shared" ca="1" si="99"/>
        <v>1</v>
      </c>
      <c r="G839" s="76">
        <f t="shared" ca="1" si="100"/>
        <v>0</v>
      </c>
      <c r="H839" s="76">
        <f ca="1">SUM($G$4:G839)</f>
        <v>-25.155084302325577</v>
      </c>
      <c r="I839" s="76">
        <f t="shared" ca="1" si="101"/>
        <v>0</v>
      </c>
      <c r="J839" s="76">
        <f t="shared" ca="1" si="102"/>
        <v>0</v>
      </c>
    </row>
    <row r="840" spans="2:10" x14ac:dyDescent="0.2">
      <c r="B840" s="66"/>
      <c r="C840" s="46">
        <f t="shared" ca="1" si="96"/>
        <v>0</v>
      </c>
      <c r="D840" s="46">
        <f t="shared" ca="1" si="97"/>
        <v>860</v>
      </c>
      <c r="E840" s="74">
        <f t="shared" ca="1" si="98"/>
        <v>1</v>
      </c>
      <c r="F840">
        <f t="shared" ca="1" si="99"/>
        <v>1</v>
      </c>
      <c r="G840" s="76">
        <f t="shared" ca="1" si="100"/>
        <v>0</v>
      </c>
      <c r="H840" s="76">
        <f ca="1">SUM($G$4:G840)</f>
        <v>-25.155084302325577</v>
      </c>
      <c r="I840" s="76">
        <f t="shared" ca="1" si="101"/>
        <v>0</v>
      </c>
      <c r="J840" s="76">
        <f t="shared" ca="1" si="102"/>
        <v>0</v>
      </c>
    </row>
    <row r="841" spans="2:10" x14ac:dyDescent="0.2">
      <c r="B841" s="66"/>
      <c r="C841" s="46">
        <f t="shared" ca="1" si="96"/>
        <v>0</v>
      </c>
      <c r="D841" s="46">
        <f t="shared" ca="1" si="97"/>
        <v>860</v>
      </c>
      <c r="E841" s="74">
        <f t="shared" ca="1" si="98"/>
        <v>1</v>
      </c>
      <c r="F841">
        <f t="shared" ca="1" si="99"/>
        <v>1</v>
      </c>
      <c r="G841" s="76">
        <f t="shared" ca="1" si="100"/>
        <v>0</v>
      </c>
      <c r="H841" s="76">
        <f ca="1">SUM($G$4:G841)</f>
        <v>-25.155084302325577</v>
      </c>
      <c r="I841" s="76">
        <f t="shared" ca="1" si="101"/>
        <v>0</v>
      </c>
      <c r="J841" s="76">
        <f t="shared" ca="1" si="102"/>
        <v>0</v>
      </c>
    </row>
    <row r="842" spans="2:10" x14ac:dyDescent="0.2">
      <c r="B842" s="66"/>
      <c r="C842" s="46">
        <f t="shared" ca="1" si="96"/>
        <v>0</v>
      </c>
      <c r="D842" s="46">
        <f t="shared" ca="1" si="97"/>
        <v>860</v>
      </c>
      <c r="E842" s="74">
        <f t="shared" ca="1" si="98"/>
        <v>1</v>
      </c>
      <c r="F842">
        <f t="shared" ca="1" si="99"/>
        <v>1</v>
      </c>
      <c r="G842" s="76">
        <f t="shared" ca="1" si="100"/>
        <v>0</v>
      </c>
      <c r="H842" s="76">
        <f ca="1">SUM($G$4:G842)</f>
        <v>-25.155084302325577</v>
      </c>
      <c r="I842" s="76">
        <f t="shared" ca="1" si="101"/>
        <v>0</v>
      </c>
      <c r="J842" s="76">
        <f t="shared" ca="1" si="102"/>
        <v>0</v>
      </c>
    </row>
    <row r="843" spans="2:10" x14ac:dyDescent="0.2">
      <c r="B843" s="66"/>
      <c r="C843" s="46">
        <f t="shared" ca="1" si="96"/>
        <v>0</v>
      </c>
      <c r="D843" s="46">
        <f t="shared" ca="1" si="97"/>
        <v>860</v>
      </c>
      <c r="E843" s="74">
        <f t="shared" ca="1" si="98"/>
        <v>1</v>
      </c>
      <c r="F843">
        <f t="shared" ca="1" si="99"/>
        <v>1</v>
      </c>
      <c r="G843" s="76">
        <f t="shared" ca="1" si="100"/>
        <v>0</v>
      </c>
      <c r="H843" s="76">
        <f ca="1">SUM($G$4:G843)</f>
        <v>-25.155084302325577</v>
      </c>
      <c r="I843" s="76">
        <f t="shared" ca="1" si="101"/>
        <v>0</v>
      </c>
      <c r="J843" s="76">
        <f t="shared" ca="1" si="102"/>
        <v>0</v>
      </c>
    </row>
    <row r="844" spans="2:10" x14ac:dyDescent="0.2">
      <c r="B844" s="66"/>
      <c r="C844" s="46">
        <f t="shared" ca="1" si="96"/>
        <v>0</v>
      </c>
      <c r="D844" s="46">
        <f t="shared" ca="1" si="97"/>
        <v>860</v>
      </c>
      <c r="E844" s="74">
        <f t="shared" ca="1" si="98"/>
        <v>1</v>
      </c>
      <c r="F844">
        <f t="shared" ca="1" si="99"/>
        <v>1</v>
      </c>
      <c r="G844" s="76">
        <f t="shared" ca="1" si="100"/>
        <v>0</v>
      </c>
      <c r="H844" s="76">
        <f ca="1">SUM($G$4:G844)</f>
        <v>-25.155084302325577</v>
      </c>
      <c r="I844" s="76">
        <f t="shared" ca="1" si="101"/>
        <v>0</v>
      </c>
      <c r="J844" s="76">
        <f t="shared" ca="1" si="102"/>
        <v>0</v>
      </c>
    </row>
    <row r="845" spans="2:10" x14ac:dyDescent="0.2">
      <c r="B845" s="66"/>
      <c r="C845" s="46">
        <f t="shared" ca="1" si="96"/>
        <v>0</v>
      </c>
      <c r="D845" s="46">
        <f t="shared" ca="1" si="97"/>
        <v>860</v>
      </c>
      <c r="E845" s="74">
        <f t="shared" ca="1" si="98"/>
        <v>1</v>
      </c>
      <c r="F845">
        <f t="shared" ca="1" si="99"/>
        <v>1</v>
      </c>
      <c r="G845" s="76">
        <f t="shared" ca="1" si="100"/>
        <v>0</v>
      </c>
      <c r="H845" s="76">
        <f ca="1">SUM($G$4:G845)</f>
        <v>-25.155084302325577</v>
      </c>
      <c r="I845" s="76">
        <f t="shared" ca="1" si="101"/>
        <v>0</v>
      </c>
      <c r="J845" s="76">
        <f t="shared" ca="1" si="102"/>
        <v>0</v>
      </c>
    </row>
    <row r="846" spans="2:10" x14ac:dyDescent="0.2">
      <c r="B846" s="66"/>
      <c r="C846" s="46">
        <f t="shared" ca="1" si="96"/>
        <v>0</v>
      </c>
      <c r="D846" s="46">
        <f t="shared" ca="1" si="97"/>
        <v>860</v>
      </c>
      <c r="E846" s="74">
        <f t="shared" ca="1" si="98"/>
        <v>1</v>
      </c>
      <c r="F846">
        <f t="shared" ca="1" si="99"/>
        <v>1</v>
      </c>
      <c r="G846" s="76">
        <f t="shared" ca="1" si="100"/>
        <v>0</v>
      </c>
      <c r="H846" s="76">
        <f ca="1">SUM($G$4:G846)</f>
        <v>-25.155084302325577</v>
      </c>
      <c r="I846" s="76">
        <f t="shared" ca="1" si="101"/>
        <v>0</v>
      </c>
      <c r="J846" s="76">
        <f t="shared" ca="1" si="102"/>
        <v>0</v>
      </c>
    </row>
    <row r="847" spans="2:10" x14ac:dyDescent="0.2">
      <c r="B847" s="66"/>
      <c r="C847" s="46">
        <f t="shared" ca="1" si="96"/>
        <v>0</v>
      </c>
      <c r="D847" s="46">
        <f t="shared" ca="1" si="97"/>
        <v>860</v>
      </c>
      <c r="E847" s="74">
        <f t="shared" ca="1" si="98"/>
        <v>1</v>
      </c>
      <c r="F847">
        <f t="shared" ca="1" si="99"/>
        <v>1</v>
      </c>
      <c r="G847" s="76">
        <f t="shared" ca="1" si="100"/>
        <v>0</v>
      </c>
      <c r="H847" s="76">
        <f ca="1">SUM($G$4:G847)</f>
        <v>-25.155084302325577</v>
      </c>
      <c r="I847" s="76">
        <f t="shared" ca="1" si="101"/>
        <v>0</v>
      </c>
      <c r="J847" s="76">
        <f t="shared" ca="1" si="102"/>
        <v>0</v>
      </c>
    </row>
    <row r="848" spans="2:10" x14ac:dyDescent="0.2">
      <c r="B848" s="66"/>
      <c r="C848" s="46">
        <f t="shared" ca="1" si="96"/>
        <v>0</v>
      </c>
      <c r="D848" s="46">
        <f t="shared" ca="1" si="97"/>
        <v>860</v>
      </c>
      <c r="E848" s="74">
        <f t="shared" ca="1" si="98"/>
        <v>1</v>
      </c>
      <c r="F848">
        <f t="shared" ca="1" si="99"/>
        <v>1</v>
      </c>
      <c r="G848" s="76">
        <f t="shared" ca="1" si="100"/>
        <v>0</v>
      </c>
      <c r="H848" s="76">
        <f ca="1">SUM($G$4:G848)</f>
        <v>-25.155084302325577</v>
      </c>
      <c r="I848" s="76">
        <f t="shared" ca="1" si="101"/>
        <v>0</v>
      </c>
      <c r="J848" s="76">
        <f t="shared" ca="1" si="102"/>
        <v>0</v>
      </c>
    </row>
    <row r="849" spans="2:11" x14ac:dyDescent="0.2">
      <c r="B849" s="66"/>
      <c r="C849" s="46">
        <f t="shared" ca="1" si="96"/>
        <v>0</v>
      </c>
      <c r="D849" s="46">
        <f t="shared" ca="1" si="97"/>
        <v>860</v>
      </c>
      <c r="E849" s="74">
        <f t="shared" ca="1" si="98"/>
        <v>1</v>
      </c>
      <c r="F849">
        <f t="shared" ca="1" si="99"/>
        <v>1</v>
      </c>
      <c r="G849" s="76">
        <f t="shared" ca="1" si="100"/>
        <v>0</v>
      </c>
      <c r="H849" s="76">
        <f ca="1">SUM($G$4:G849)</f>
        <v>-25.155084302325577</v>
      </c>
      <c r="I849" s="76">
        <f t="shared" ca="1" si="101"/>
        <v>0</v>
      </c>
      <c r="J849" s="76">
        <f t="shared" ca="1" si="102"/>
        <v>0</v>
      </c>
    </row>
    <row r="850" spans="2:11" x14ac:dyDescent="0.2">
      <c r="B850" s="66"/>
      <c r="C850" s="46">
        <f t="shared" ca="1" si="96"/>
        <v>0</v>
      </c>
      <c r="D850" s="46">
        <f t="shared" ca="1" si="97"/>
        <v>860</v>
      </c>
      <c r="E850" s="74">
        <f t="shared" ca="1" si="98"/>
        <v>1</v>
      </c>
      <c r="F850">
        <f t="shared" ca="1" si="99"/>
        <v>1</v>
      </c>
      <c r="G850" s="76">
        <f t="shared" ca="1" si="100"/>
        <v>0</v>
      </c>
      <c r="H850" s="76">
        <f ca="1">SUM($G$4:G850)</f>
        <v>-25.155084302325577</v>
      </c>
      <c r="I850" s="76">
        <f t="shared" ca="1" si="101"/>
        <v>0</v>
      </c>
      <c r="J850" s="76">
        <f t="shared" ca="1" si="102"/>
        <v>0</v>
      </c>
    </row>
    <row r="851" spans="2:11" x14ac:dyDescent="0.2">
      <c r="B851" s="66"/>
      <c r="C851" s="46">
        <f t="shared" ca="1" si="96"/>
        <v>0</v>
      </c>
      <c r="D851" s="46">
        <f t="shared" ca="1" si="97"/>
        <v>860</v>
      </c>
      <c r="E851" s="74">
        <f t="shared" ca="1" si="98"/>
        <v>1</v>
      </c>
      <c r="F851">
        <f t="shared" ca="1" si="99"/>
        <v>1</v>
      </c>
      <c r="G851" s="76">
        <f t="shared" ca="1" si="100"/>
        <v>0</v>
      </c>
      <c r="H851" s="76">
        <f ca="1">SUM($G$4:G851)</f>
        <v>-25.155084302325577</v>
      </c>
      <c r="I851" s="76">
        <f t="shared" ca="1" si="101"/>
        <v>0</v>
      </c>
      <c r="J851" s="76">
        <f t="shared" ca="1" si="102"/>
        <v>0</v>
      </c>
    </row>
    <row r="852" spans="2:11" x14ac:dyDescent="0.2">
      <c r="B852" s="66"/>
      <c r="C852" s="46">
        <f t="shared" ca="1" si="96"/>
        <v>0</v>
      </c>
      <c r="D852" s="46">
        <f t="shared" ca="1" si="97"/>
        <v>860</v>
      </c>
      <c r="E852" s="74">
        <f t="shared" ca="1" si="98"/>
        <v>1</v>
      </c>
      <c r="F852">
        <f t="shared" ca="1" si="99"/>
        <v>1</v>
      </c>
      <c r="G852" s="76">
        <f t="shared" ca="1" si="100"/>
        <v>0</v>
      </c>
      <c r="H852" s="76">
        <f ca="1">SUM($G$4:G852)</f>
        <v>-25.155084302325577</v>
      </c>
      <c r="I852" s="76">
        <f t="shared" ca="1" si="101"/>
        <v>0</v>
      </c>
      <c r="J852" s="76">
        <f t="shared" ca="1" si="102"/>
        <v>0</v>
      </c>
    </row>
    <row r="853" spans="2:11" x14ac:dyDescent="0.2">
      <c r="B853" s="66"/>
      <c r="C853" s="46">
        <f t="shared" ca="1" si="96"/>
        <v>0</v>
      </c>
      <c r="D853" s="46">
        <f t="shared" ca="1" si="97"/>
        <v>860</v>
      </c>
      <c r="E853" s="74">
        <f t="shared" ca="1" si="98"/>
        <v>1</v>
      </c>
      <c r="F853">
        <f t="shared" ca="1" si="99"/>
        <v>1</v>
      </c>
      <c r="G853" s="76">
        <f t="shared" ca="1" si="100"/>
        <v>0</v>
      </c>
      <c r="H853" s="76">
        <f ca="1">SUM($G$4:G853)</f>
        <v>-25.155084302325577</v>
      </c>
      <c r="I853" s="76">
        <f t="shared" ca="1" si="101"/>
        <v>0</v>
      </c>
      <c r="J853" s="76">
        <f t="shared" ca="1" si="102"/>
        <v>0</v>
      </c>
    </row>
    <row r="854" spans="2:11" x14ac:dyDescent="0.2">
      <c r="B854" s="66"/>
      <c r="C854" s="46">
        <f t="shared" ca="1" si="96"/>
        <v>0</v>
      </c>
      <c r="D854" s="46">
        <f t="shared" ca="1" si="97"/>
        <v>860</v>
      </c>
      <c r="E854" s="74">
        <f t="shared" ca="1" si="98"/>
        <v>1</v>
      </c>
      <c r="F854">
        <f t="shared" ca="1" si="99"/>
        <v>1</v>
      </c>
      <c r="G854" s="76">
        <f t="shared" ca="1" si="100"/>
        <v>0</v>
      </c>
      <c r="H854" s="76">
        <f ca="1">SUM($G$4:G854)</f>
        <v>-25.155084302325577</v>
      </c>
      <c r="I854" s="76">
        <f t="shared" ca="1" si="101"/>
        <v>0</v>
      </c>
      <c r="J854" s="76">
        <f t="shared" ca="1" si="102"/>
        <v>0</v>
      </c>
    </row>
    <row r="855" spans="2:11" x14ac:dyDescent="0.2">
      <c r="B855" s="66"/>
      <c r="C855" s="70">
        <f t="shared" ca="1" si="96"/>
        <v>0</v>
      </c>
      <c r="D855" s="46">
        <f t="shared" ca="1" si="97"/>
        <v>860</v>
      </c>
      <c r="E855" s="74">
        <f t="shared" ca="1" si="98"/>
        <v>1</v>
      </c>
      <c r="F855">
        <f t="shared" si="99"/>
        <v>0</v>
      </c>
      <c r="G855" s="76">
        <f t="shared" si="100"/>
        <v>0</v>
      </c>
      <c r="H855" s="76">
        <f ca="1">SUM($G$4:G855)</f>
        <v>-25.155084302325577</v>
      </c>
      <c r="I855" s="76">
        <f t="shared" ca="1" si="101"/>
        <v>0</v>
      </c>
      <c r="J855" s="76"/>
      <c r="K855" t="s">
        <v>70</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DFF0-7FB8-4D64-9A71-AB79231A71AF}">
  <sheetPr>
    <tabColor theme="4" tint="0.59999389629810485"/>
  </sheetPr>
  <dimension ref="A1:S3"/>
  <sheetViews>
    <sheetView workbookViewId="0">
      <selection activeCell="B3" sqref="B3"/>
    </sheetView>
  </sheetViews>
  <sheetFormatPr baseColWidth="10" defaultColWidth="8.83203125" defaultRowHeight="15" x14ac:dyDescent="0.2"/>
  <cols>
    <col min="1" max="1" width="15.5" customWidth="1"/>
    <col min="2" max="2" width="10.5" bestFit="1" customWidth="1"/>
    <col min="3" max="4" width="7.5" bestFit="1" customWidth="1"/>
    <col min="5" max="5" width="9.5" bestFit="1" customWidth="1"/>
    <col min="6" max="6" width="8" bestFit="1" customWidth="1"/>
    <col min="7" max="7" width="10.5" bestFit="1" customWidth="1"/>
    <col min="8" max="8" width="6.5" bestFit="1" customWidth="1"/>
    <col min="9" max="9" width="7.5" bestFit="1" customWidth="1"/>
    <col min="10" max="10" width="7" bestFit="1" customWidth="1"/>
    <col min="11" max="11" width="5.1640625" bestFit="1" customWidth="1"/>
    <col min="12" max="12" width="11.5" bestFit="1" customWidth="1"/>
    <col min="13" max="13" width="11.1640625" bestFit="1" customWidth="1"/>
    <col min="14" max="14" width="6.5" bestFit="1" customWidth="1"/>
    <col min="15" max="15" width="10.1640625" bestFit="1" customWidth="1"/>
    <col min="16" max="16" width="7.5" bestFit="1" customWidth="1"/>
    <col min="17" max="17" width="10" bestFit="1" customWidth="1"/>
    <col min="18" max="18" width="4.5" bestFit="1" customWidth="1"/>
    <col min="19" max="19" width="8.5" bestFit="1" customWidth="1"/>
  </cols>
  <sheetData>
    <row r="1" spans="1:19" x14ac:dyDescent="0.2">
      <c r="A1" s="107" t="s">
        <v>71</v>
      </c>
      <c r="B1" t="s">
        <v>72</v>
      </c>
      <c r="C1" t="s">
        <v>73</v>
      </c>
      <c r="D1" t="s">
        <v>74</v>
      </c>
      <c r="E1" t="s">
        <v>75</v>
      </c>
      <c r="F1" t="s">
        <v>76</v>
      </c>
      <c r="G1" t="s">
        <v>77</v>
      </c>
      <c r="H1" t="s">
        <v>78</v>
      </c>
      <c r="I1" t="s">
        <v>79</v>
      </c>
      <c r="J1" t="s">
        <v>80</v>
      </c>
      <c r="K1" t="s">
        <v>12</v>
      </c>
      <c r="L1" t="s">
        <v>81</v>
      </c>
      <c r="M1" t="s">
        <v>82</v>
      </c>
      <c r="N1" t="s">
        <v>83</v>
      </c>
      <c r="O1" t="s">
        <v>84</v>
      </c>
      <c r="P1" t="s">
        <v>85</v>
      </c>
      <c r="Q1" t="s">
        <v>86</v>
      </c>
      <c r="R1" t="s">
        <v>87</v>
      </c>
      <c r="S1" t="s">
        <v>88</v>
      </c>
    </row>
    <row r="2" spans="1:19" x14ac:dyDescent="0.2">
      <c r="A2" s="108" t="s">
        <v>89</v>
      </c>
      <c r="B2" t="s">
        <v>90</v>
      </c>
      <c r="C2" t="s">
        <v>91</v>
      </c>
      <c r="D2" t="s">
        <v>92</v>
      </c>
      <c r="E2" t="s">
        <v>93</v>
      </c>
      <c r="F2" t="s">
        <v>94</v>
      </c>
      <c r="G2" t="s">
        <v>95</v>
      </c>
      <c r="H2" t="s">
        <v>96</v>
      </c>
      <c r="I2" t="s">
        <v>97</v>
      </c>
      <c r="J2" t="s">
        <v>98</v>
      </c>
      <c r="K2" t="s">
        <v>99</v>
      </c>
      <c r="L2" t="s">
        <v>100</v>
      </c>
      <c r="M2" t="s">
        <v>101</v>
      </c>
      <c r="N2" t="s">
        <v>102</v>
      </c>
      <c r="O2" t="s">
        <v>103</v>
      </c>
      <c r="P2" t="s">
        <v>104</v>
      </c>
      <c r="Q2" t="s">
        <v>105</v>
      </c>
      <c r="R2" t="s">
        <v>106</v>
      </c>
      <c r="S2" t="s">
        <v>107</v>
      </c>
    </row>
    <row r="3" spans="1:19" x14ac:dyDescent="0.2">
      <c r="A3" s="109" t="s">
        <v>108</v>
      </c>
      <c r="B3">
        <v>86000</v>
      </c>
      <c r="C3">
        <v>97.44</v>
      </c>
      <c r="D3">
        <v>598.5</v>
      </c>
      <c r="E3">
        <v>62</v>
      </c>
      <c r="F3">
        <v>160000</v>
      </c>
      <c r="G3">
        <v>42986</v>
      </c>
      <c r="H3">
        <v>84</v>
      </c>
      <c r="I3">
        <v>3317</v>
      </c>
      <c r="J3">
        <v>148884</v>
      </c>
      <c r="K3">
        <v>1291</v>
      </c>
      <c r="L3">
        <v>17000</v>
      </c>
      <c r="M3">
        <v>2800</v>
      </c>
      <c r="N3">
        <v>88.6</v>
      </c>
      <c r="O3">
        <v>125928</v>
      </c>
      <c r="P3">
        <v>4400</v>
      </c>
      <c r="Q3">
        <v>308.2</v>
      </c>
      <c r="R3">
        <v>610</v>
      </c>
      <c r="S3">
        <v>10</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DCF4D-F554-4B88-9C26-2D8557D2D190}">
  <sheetPr>
    <tabColor theme="4" tint="0.59999389629810485"/>
  </sheetPr>
  <dimension ref="A1:P1638"/>
  <sheetViews>
    <sheetView showGridLines="0" topLeftCell="A25" workbookViewId="0">
      <selection activeCell="C56" sqref="C56"/>
    </sheetView>
  </sheetViews>
  <sheetFormatPr baseColWidth="10" defaultColWidth="8.83203125" defaultRowHeight="15" x14ac:dyDescent="0.2"/>
  <cols>
    <col min="1" max="1" width="15" customWidth="1"/>
    <col min="2" max="2" width="17" customWidth="1"/>
    <col min="3" max="3" width="14.5" customWidth="1"/>
    <col min="4" max="4" width="11.5" style="46" customWidth="1"/>
    <col min="6" max="6" width="19.1640625" customWidth="1"/>
    <col min="7" max="7" width="13.5" customWidth="1"/>
    <col min="8" max="8" width="14.5" customWidth="1"/>
    <col min="16" max="16" width="136.5" customWidth="1"/>
  </cols>
  <sheetData>
    <row r="1" spans="1:16" x14ac:dyDescent="0.2">
      <c r="A1" s="44" t="s">
        <v>109</v>
      </c>
      <c r="B1" s="44" t="s">
        <v>4</v>
      </c>
      <c r="C1" s="44" t="s">
        <v>25</v>
      </c>
      <c r="D1" s="47" t="s">
        <v>110</v>
      </c>
      <c r="P1" s="141"/>
    </row>
    <row r="2" spans="1:16" x14ac:dyDescent="0.2">
      <c r="A2" t="s">
        <v>111</v>
      </c>
      <c r="B2" t="str" cm="1">
        <f t="array" ref="B2:B79">_xlfn._xlws.SORT(_xlfn.UNIQUE(COUNTY_DATA))</f>
        <v>Alamance</v>
      </c>
      <c r="C2" s="104" cm="1">
        <f t="array" aca="1" ref="C2" ca="1">IFERROR(MEDIAN(_xlfn._xlws.FILTER(IF(Dashboard!$U$6="Included",ALL_DATA,DETECT_DATA),COUNTY_DATA=B2)),"-")</f>
        <v>11.5</v>
      </c>
      <c r="D2" s="103" cm="1">
        <f t="array" aca="1" ref="D2:D799" ca="1">_xlfn._xlws.SORT(_xlfn._xlws.FILTER(DETECT_DATA,DETECT_DATA&lt;&gt;""))</f>
        <v>5.0000000000000001E-3</v>
      </c>
      <c r="F2" s="72" t="s">
        <v>112</v>
      </c>
      <c r="G2" s="81">
        <f ca="1">INDIRECT(ADDRESS(3,MATCH(Dashboard!M6,Outliers!B1:S1,0)+1,,,"OUTLIERS"))</f>
        <v>1291</v>
      </c>
      <c r="P2" s="141"/>
    </row>
    <row r="3" spans="1:16" x14ac:dyDescent="0.2">
      <c r="A3" t="s">
        <v>111</v>
      </c>
      <c r="B3" t="str">
        <v>Alexander</v>
      </c>
      <c r="C3" s="104" cm="1">
        <f t="array" aca="1" ref="C3" ca="1">IFERROR(MEDIAN(_xlfn._xlws.FILTER(IF(Dashboard!$U$6="Included",ALL_DATA,DETECT_DATA),COUNTY_DATA=B3)),"-")</f>
        <v>56.16</v>
      </c>
      <c r="D3" s="103">
        <f ca="1"/>
        <v>7.8299999999999995E-2</v>
      </c>
      <c r="F3" s="72" t="s">
        <v>113</v>
      </c>
      <c r="G3" s="62" t="str">
        <f ca="1">"Median """ &amp; INDIRECT(ADDRESS(2,MATCH(Dashboard!M6,Outliers!B1:S1,0)+1,,,"OUTLIERS"))  &amp; """ by County *" &amp; CHAR(13) &amp; "[" &amp; IF(Dashboard!$U$6="Included","All Data","Detects Only") &amp; "]"</f>
        <v>Median "Lead" by County *_x000D_[All Data]</v>
      </c>
      <c r="P3" s="141"/>
    </row>
    <row r="4" spans="1:16" x14ac:dyDescent="0.2">
      <c r="A4" t="s">
        <v>111</v>
      </c>
      <c r="B4" t="str">
        <v>Alleghany</v>
      </c>
      <c r="C4" s="104" cm="1">
        <f t="array" aca="1" ref="C4" ca="1">IFERROR(MEDIAN(_xlfn._xlws.FILTER(IF(Dashboard!$U$6="Included",ALL_DATA,DETECT_DATA),COUNTY_DATA=B4)),"-")</f>
        <v>20</v>
      </c>
      <c r="D4" s="103">
        <f ca="1"/>
        <v>0.38</v>
      </c>
      <c r="F4" s="72" t="s">
        <v>114</v>
      </c>
      <c r="G4" s="1">
        <f ca="1">MIN(DETECT_DATA)</f>
        <v>5.0000000000000001E-3</v>
      </c>
      <c r="P4" s="141"/>
    </row>
    <row r="5" spans="1:16" x14ac:dyDescent="0.2">
      <c r="A5" t="s">
        <v>111</v>
      </c>
      <c r="B5" t="str">
        <v>Anson</v>
      </c>
      <c r="C5" s="104" cm="1">
        <f t="array" aca="1" ref="C5" ca="1">IFERROR(MEDIAN(_xlfn._xlws.FILTER(IF(Dashboard!$U$6="Included",ALL_DATA,DETECT_DATA),COUNTY_DATA=B5)),"-")</f>
        <v>5.0000000000000001E-3</v>
      </c>
      <c r="D5" s="103">
        <f ca="1"/>
        <v>0.5</v>
      </c>
      <c r="F5" s="72" t="s">
        <v>115</v>
      </c>
      <c r="G5" s="1">
        <f>MATCH(Dashboard!M6,'Data Table'!A1:BI1,0)</f>
        <v>35</v>
      </c>
      <c r="P5" s="141"/>
    </row>
    <row r="6" spans="1:16" x14ac:dyDescent="0.2">
      <c r="A6" t="s">
        <v>111</v>
      </c>
      <c r="B6" t="str">
        <v>Ashe</v>
      </c>
      <c r="C6" s="104" cm="1">
        <f t="array" aca="1" ref="C6" ca="1">IFERROR(MEDIAN(_xlfn._xlws.FILTER(IF(Dashboard!$U$6="Included",ALL_DATA,DETECT_DATA),COUNTY_DATA=B6)),"-")</f>
        <v>9.65</v>
      </c>
      <c r="D6" s="103">
        <f ca="1"/>
        <v>0.6</v>
      </c>
      <c r="F6" s="72" t="s">
        <v>116</v>
      </c>
      <c r="G6" t="str">
        <f>"are " &amp; LOWER(Dashboard!$AA$6) &amp; "."</f>
        <v>are excluded.</v>
      </c>
      <c r="P6" s="141"/>
    </row>
    <row r="7" spans="1:16" x14ac:dyDescent="0.2">
      <c r="A7" t="s">
        <v>111</v>
      </c>
      <c r="B7" t="str">
        <v>Beaufort</v>
      </c>
      <c r="C7" s="104" cm="1">
        <f t="array" aca="1" ref="C7" ca="1">IFERROR(MEDIAN(_xlfn._xlws.FILTER(IF(Dashboard!$U$6="Included",ALL_DATA,DETECT_DATA),COUNTY_DATA=B7)),"-")</f>
        <v>7.5</v>
      </c>
      <c r="D7" s="103">
        <f ca="1"/>
        <v>0.76</v>
      </c>
      <c r="F7" s="72" t="s">
        <v>117</v>
      </c>
      <c r="G7" t="str">
        <f>"Non-detects are " &amp; LOWER(Dashboard!$U$6)</f>
        <v>Non-detects are included</v>
      </c>
      <c r="P7" s="141"/>
    </row>
    <row r="8" spans="1:16" x14ac:dyDescent="0.2">
      <c r="A8" t="s">
        <v>111</v>
      </c>
      <c r="B8" t="str">
        <v>Bertie</v>
      </c>
      <c r="C8" s="104" cm="1">
        <f t="array" aca="1" ref="C8" ca="1">IFERROR(MEDIAN(_xlfn._xlws.FILTER(IF(Dashboard!$U$6="Included",ALL_DATA,DETECT_DATA),COUNTY_DATA=B8)),"-")</f>
        <v>5</v>
      </c>
      <c r="D8" s="103">
        <f ca="1"/>
        <v>0.92</v>
      </c>
      <c r="F8" s="72" t="s">
        <v>118</v>
      </c>
      <c r="G8" t="str">
        <f>IF(Dashboard!$U$6="Included","* Includes detects and non-detects ","* Only includes detects ") &amp; $G$6</f>
        <v>* Includes detects and non-detects are excluded.</v>
      </c>
      <c r="P8" s="141"/>
    </row>
    <row r="9" spans="1:16" x14ac:dyDescent="0.2">
      <c r="A9" t="s">
        <v>111</v>
      </c>
      <c r="B9" t="str">
        <v>Bladen</v>
      </c>
      <c r="C9" s="104" cm="1">
        <f t="array" aca="1" ref="C9" ca="1">IFERROR(MEDIAN(_xlfn._xlws.FILTER(IF(Dashboard!$U$6="Included",ALL_DATA,DETECT_DATA),COUNTY_DATA=B9)),"-")</f>
        <v>7.1</v>
      </c>
      <c r="D9" s="103">
        <f ca="1"/>
        <v>0.93</v>
      </c>
      <c r="F9" s="72" t="s">
        <v>119</v>
      </c>
      <c r="G9" t="str">
        <f>"Boxplot of Detects Only *"</f>
        <v>Boxplot of Detects Only *</v>
      </c>
      <c r="P9" s="141"/>
    </row>
    <row r="10" spans="1:16" x14ac:dyDescent="0.2">
      <c r="A10" t="s">
        <v>111</v>
      </c>
      <c r="B10" t="str">
        <v>Brunswick</v>
      </c>
      <c r="C10" s="104" cm="1">
        <f t="array" aca="1" ref="C10" ca="1">IFERROR(MEDIAN(_xlfn._xlws.FILTER(IF(Dashboard!$U$6="Included",ALL_DATA,DETECT_DATA),COUNTY_DATA=B10)),"-")</f>
        <v>14</v>
      </c>
      <c r="D10" s="103">
        <f ca="1"/>
        <v>0.94</v>
      </c>
      <c r="F10" s="72" t="s">
        <v>120</v>
      </c>
      <c r="G10" s="1" t="str">
        <f>LEFT(RIGHT(""&amp;Dashboard!X6,2))</f>
        <v>9</v>
      </c>
      <c r="H10" s="138" t="str">
        <f>RIGHT(""&amp;Dashboard!X6)</f>
        <v>0</v>
      </c>
      <c r="P10" s="141"/>
    </row>
    <row r="11" spans="1:16" x14ac:dyDescent="0.2">
      <c r="A11" t="s">
        <v>111</v>
      </c>
      <c r="B11" t="str">
        <v>Buncombe</v>
      </c>
      <c r="C11" s="104" cm="1">
        <f t="array" aca="1" ref="C11" ca="1">IFERROR(MEDIAN(_xlfn._xlws.FILTER(IF(Dashboard!$U$6="Included",ALL_DATA,DETECT_DATA),COUNTY_DATA=B11)),"-")</f>
        <v>20</v>
      </c>
      <c r="D11" s="103">
        <f ca="1"/>
        <v>1</v>
      </c>
      <c r="F11" s="72" t="s">
        <v>121</v>
      </c>
      <c r="G11" t="str">
        <f>IF($G$10="1","th",IF($H$10="1","st",IF($H$10="2","nd",IF($H$10="3","rd","th"))))</f>
        <v>th</v>
      </c>
      <c r="P11" s="141"/>
    </row>
    <row r="12" spans="1:16" x14ac:dyDescent="0.2">
      <c r="A12" t="s">
        <v>111</v>
      </c>
      <c r="B12" t="str">
        <v>Burke</v>
      </c>
      <c r="C12" s="104" cm="1">
        <f t="array" aca="1" ref="C12" ca="1">IFERROR(MEDIAN(_xlfn._xlws.FILTER(IF(Dashboard!$U$6="Included",ALL_DATA,DETECT_DATA),COUNTY_DATA=B12)),"-")</f>
        <v>17</v>
      </c>
      <c r="D12" s="103">
        <f ca="1"/>
        <v>1</v>
      </c>
      <c r="F12" s="72" t="s">
        <v>122</v>
      </c>
      <c r="G12" t="str">
        <f xml:space="preserve"> "Nonparametrics " &amp; "[" &amp; IF(Dashboard!$U$6="Included","All Data","Detects Only") &amp; "] *"</f>
        <v>Nonparametrics [All Data] *</v>
      </c>
      <c r="P12" s="141"/>
    </row>
    <row r="13" spans="1:16" x14ac:dyDescent="0.2">
      <c r="A13" t="s">
        <v>111</v>
      </c>
      <c r="B13" t="str">
        <v>Cabarrus</v>
      </c>
      <c r="C13" s="104" cm="1">
        <f t="array" aca="1" ref="C13" ca="1">IFERROR(MEDIAN(_xlfn._xlws.FILTER(IF(Dashboard!$U$6="Included",ALL_DATA,DETECT_DATA),COUNTY_DATA=B13)),"-")</f>
        <v>13.15</v>
      </c>
      <c r="D13" s="103">
        <f ca="1"/>
        <v>1</v>
      </c>
      <c r="P13" s="141"/>
    </row>
    <row r="14" spans="1:16" x14ac:dyDescent="0.2">
      <c r="A14" t="s">
        <v>111</v>
      </c>
      <c r="B14" t="str">
        <v>Caldwell</v>
      </c>
      <c r="C14" s="104" cm="1">
        <f t="array" aca="1" ref="C14" ca="1">IFERROR(MEDIAN(_xlfn._xlws.FILTER(IF(Dashboard!$U$6="Included",ALL_DATA,DETECT_DATA),COUNTY_DATA=B14)),"-")</f>
        <v>6</v>
      </c>
      <c r="D14" s="103">
        <f ca="1"/>
        <v>1</v>
      </c>
      <c r="G14" s="45" t="s">
        <v>123</v>
      </c>
      <c r="H14" s="45" t="s">
        <v>124</v>
      </c>
      <c r="P14" s="141"/>
    </row>
    <row r="15" spans="1:16" x14ac:dyDescent="0.2">
      <c r="A15" t="s">
        <v>111</v>
      </c>
      <c r="B15" t="str">
        <v>Carteret</v>
      </c>
      <c r="C15" s="104" cm="1">
        <f t="array" aca="1" ref="C15" ca="1">IFERROR(MEDIAN(_xlfn._xlws.FILTER(IF(Dashboard!$U$6="Included",ALL_DATA,DETECT_DATA),COUNTY_DATA=B15)),"-")</f>
        <v>64.8</v>
      </c>
      <c r="D15" s="103">
        <f ca="1"/>
        <v>1.2</v>
      </c>
      <c r="F15" s="72" t="s">
        <v>125</v>
      </c>
      <c r="G15" t="s">
        <v>126</v>
      </c>
      <c r="H15" t="s">
        <v>127</v>
      </c>
      <c r="P15" s="141"/>
    </row>
    <row r="16" spans="1:16" x14ac:dyDescent="0.2">
      <c r="A16" t="s">
        <v>111</v>
      </c>
      <c r="B16" t="str">
        <v>Catawba</v>
      </c>
      <c r="C16" s="104" cm="1">
        <f t="array" aca="1" ref="C16" ca="1">IFERROR(MEDIAN(_xlfn._xlws.FILTER(IF(Dashboard!$U$6="Included",ALL_DATA,DETECT_DATA),COUNTY_DATA=B16)),"-")</f>
        <v>19</v>
      </c>
      <c r="D16" s="103">
        <f ca="1"/>
        <v>1.2</v>
      </c>
      <c r="G16" t="s">
        <v>128</v>
      </c>
      <c r="H16" t="s">
        <v>129</v>
      </c>
      <c r="I16" t="s">
        <v>130</v>
      </c>
      <c r="P16" s="141"/>
    </row>
    <row r="17" spans="1:16" x14ac:dyDescent="0.2">
      <c r="A17" t="s">
        <v>111</v>
      </c>
      <c r="B17" t="str">
        <v>Chatham</v>
      </c>
      <c r="C17" s="104" cm="1">
        <f t="array" aca="1" ref="C17" ca="1">IFERROR(MEDIAN(_xlfn._xlws.FILTER(IF(Dashboard!$U$6="Included",ALL_DATA,DETECT_DATA),COUNTY_DATA=B17)),"-")</f>
        <v>10.45</v>
      </c>
      <c r="D17" s="103">
        <f ca="1"/>
        <v>1.2</v>
      </c>
      <c r="G17" t="s">
        <v>131</v>
      </c>
      <c r="H17" t="s">
        <v>132</v>
      </c>
      <c r="P17" s="141"/>
    </row>
    <row r="18" spans="1:16" x14ac:dyDescent="0.2">
      <c r="A18" t="s">
        <v>111</v>
      </c>
      <c r="B18" t="str">
        <v>Chowan</v>
      </c>
      <c r="C18" s="104" cm="1">
        <f t="array" aca="1" ref="C18" ca="1">IFERROR(MEDIAN(_xlfn._xlws.FILTER(IF(Dashboard!$U$6="Included",ALL_DATA,DETECT_DATA),COUNTY_DATA=B18)),"-")</f>
        <v>34</v>
      </c>
      <c r="D18" s="103">
        <f ca="1"/>
        <v>1.25</v>
      </c>
      <c r="G18" t="s">
        <v>133</v>
      </c>
      <c r="H18" t="s">
        <v>134</v>
      </c>
    </row>
    <row r="19" spans="1:16" x14ac:dyDescent="0.2">
      <c r="A19" t="s">
        <v>111</v>
      </c>
      <c r="B19" t="str">
        <v>Clay</v>
      </c>
      <c r="C19" s="104" cm="1">
        <f t="array" aca="1" ref="C19" ca="1">IFERROR(MEDIAN(_xlfn._xlws.FILTER(IF(Dashboard!$U$6="Included",ALL_DATA,DETECT_DATA),COUNTY_DATA=B19)),"-")</f>
        <v>9.8000000000000007</v>
      </c>
      <c r="D19" s="103">
        <f ca="1"/>
        <v>1.3</v>
      </c>
      <c r="G19" t="s">
        <v>135</v>
      </c>
      <c r="H19" t="s">
        <v>136</v>
      </c>
    </row>
    <row r="20" spans="1:16" x14ac:dyDescent="0.2">
      <c r="A20" t="s">
        <v>111</v>
      </c>
      <c r="B20" t="str">
        <v>Cleveland</v>
      </c>
      <c r="C20" s="104" cm="1">
        <f t="array" aca="1" ref="C20" ca="1">IFERROR(MEDIAN(_xlfn._xlws.FILTER(IF(Dashboard!$U$6="Included",ALL_DATA,DETECT_DATA),COUNTY_DATA=B20)),"-")</f>
        <v>11.38</v>
      </c>
      <c r="D20" s="103">
        <f ca="1"/>
        <v>1.3</v>
      </c>
      <c r="G20" t="s">
        <v>137</v>
      </c>
      <c r="H20" t="s">
        <v>136</v>
      </c>
    </row>
    <row r="21" spans="1:16" x14ac:dyDescent="0.2">
      <c r="A21" t="s">
        <v>111</v>
      </c>
      <c r="B21" t="str">
        <v>Columbus</v>
      </c>
      <c r="C21" s="104" cm="1">
        <f t="array" aca="1" ref="C21" ca="1">IFERROR(MEDIAN(_xlfn._xlws.FILTER(IF(Dashboard!$U$6="Included",ALL_DATA,DETECT_DATA),COUNTY_DATA=B21)),"-")</f>
        <v>12.120000000000001</v>
      </c>
      <c r="D21" s="103">
        <f ca="1"/>
        <v>1.3</v>
      </c>
    </row>
    <row r="22" spans="1:16" x14ac:dyDescent="0.2">
      <c r="A22" t="s">
        <v>111</v>
      </c>
      <c r="B22" t="str">
        <v>Craven</v>
      </c>
      <c r="C22" s="104" cm="1">
        <f t="array" aca="1" ref="C22" ca="1">IFERROR(MEDIAN(_xlfn._xlws.FILTER(IF(Dashboard!$U$6="Included",ALL_DATA,DETECT_DATA),COUNTY_DATA=B22)),"-")</f>
        <v>8.6999999999999993</v>
      </c>
      <c r="D22" s="103">
        <f ca="1"/>
        <v>1.5</v>
      </c>
      <c r="F22" s="72" t="s">
        <v>138</v>
      </c>
      <c r="G22" t="str">
        <f ca="1">"[Counties shown as grey have no " &amp; IF(Dashboard!U6="Included", "data ", "detect data ") &amp; "for """ &amp; LOWER( INDIRECT(ADDRESS(2,MATCH(Dashboard!M6,Outliers!B1:S1,0)+1,,,"OUTLIERS"))) &amp; """]"</f>
        <v>[Counties shown as grey have no data for "lead"]</v>
      </c>
    </row>
    <row r="23" spans="1:16" x14ac:dyDescent="0.2">
      <c r="A23" t="s">
        <v>111</v>
      </c>
      <c r="B23" t="str">
        <v>Cumberland</v>
      </c>
      <c r="C23" s="104" cm="1">
        <f t="array" aca="1" ref="C23" ca="1">IFERROR(MEDIAN(_xlfn._xlws.FILTER(IF(Dashboard!$U$6="Included",ALL_DATA,DETECT_DATA),COUNTY_DATA=B23)),"-")</f>
        <v>8.09</v>
      </c>
      <c r="D23" s="103">
        <f ca="1"/>
        <v>1.5</v>
      </c>
    </row>
    <row r="24" spans="1:16" x14ac:dyDescent="0.2">
      <c r="A24" t="s">
        <v>111</v>
      </c>
      <c r="B24" t="str">
        <v>Currituck</v>
      </c>
      <c r="C24" s="104" cm="1">
        <f t="array" aca="1" ref="C24" ca="1">IFERROR(MEDIAN(_xlfn._xlws.FILTER(IF(Dashboard!$U$6="Included",ALL_DATA,DETECT_DATA),COUNTY_DATA=B24)),"-")</f>
        <v>1.9</v>
      </c>
      <c r="D24" s="103">
        <f ca="1"/>
        <v>1.56</v>
      </c>
      <c r="G24" s="45" t="s">
        <v>139</v>
      </c>
      <c r="H24" s="45" t="s">
        <v>140</v>
      </c>
      <c r="I24" s="45" t="s">
        <v>141</v>
      </c>
    </row>
    <row r="25" spans="1:16" x14ac:dyDescent="0.2">
      <c r="A25" t="s">
        <v>111</v>
      </c>
      <c r="B25" t="str">
        <v>Dare</v>
      </c>
      <c r="C25" s="104" cm="1">
        <f t="array" aca="1" ref="C25" ca="1">IFERROR(MEDIAN(_xlfn._xlws.FILTER(IF(Dashboard!$U$6="Included",ALL_DATA,DETECT_DATA),COUNTY_DATA=B25)),"-")</f>
        <v>6.048</v>
      </c>
      <c r="D25" s="103">
        <f ca="1"/>
        <v>1.7</v>
      </c>
      <c r="F25" s="72" t="s">
        <v>142</v>
      </c>
      <c r="G25" s="111" t="b">
        <v>1</v>
      </c>
      <c r="H25" s="111" t="b">
        <v>1</v>
      </c>
      <c r="I25" s="111" t="b">
        <v>1</v>
      </c>
    </row>
    <row r="26" spans="1:16" x14ac:dyDescent="0.2">
      <c r="A26" t="s">
        <v>111</v>
      </c>
      <c r="B26" t="str">
        <v>Davidson</v>
      </c>
      <c r="C26" s="104" cm="1">
        <f t="array" aca="1" ref="C26" ca="1">IFERROR(MEDIAN(_xlfn._xlws.FILTER(IF(Dashboard!$U$6="Included",ALL_DATA,DETECT_DATA),COUNTY_DATA=B26)),"-")</f>
        <v>22</v>
      </c>
      <c r="D26" s="103">
        <f ca="1"/>
        <v>1.7</v>
      </c>
      <c r="G26" s="1" t="str">
        <f>IF(G25,"SD","")</f>
        <v>SD</v>
      </c>
      <c r="H26" s="1" t="str">
        <f>IF(H25,"SS","")</f>
        <v>SS</v>
      </c>
      <c r="I26" s="1" t="str">
        <f>IF(I25,"SB","")</f>
        <v>SB</v>
      </c>
    </row>
    <row r="27" spans="1:16" x14ac:dyDescent="0.2">
      <c r="A27" t="s">
        <v>111</v>
      </c>
      <c r="B27" t="str">
        <v>Duplin</v>
      </c>
      <c r="C27" s="104" cm="1">
        <f t="array" aca="1" ref="C27" ca="1">IFERROR(MEDIAN(_xlfn._xlws.FILTER(IF(Dashboard!$U$6="Included",ALL_DATA,DETECT_DATA),COUNTY_DATA=B27)),"-")</f>
        <v>4.1760000000000002</v>
      </c>
      <c r="D27" s="103">
        <f ca="1"/>
        <v>1.7</v>
      </c>
    </row>
    <row r="28" spans="1:16" x14ac:dyDescent="0.2">
      <c r="A28" t="s">
        <v>111</v>
      </c>
      <c r="B28" t="str">
        <v>Durham</v>
      </c>
      <c r="C28" s="104" cm="1">
        <f t="array" aca="1" ref="C28" ca="1">IFERROR(MEDIAN(_xlfn._xlws.FILTER(IF(Dashboard!$U$6="Included",ALL_DATA,DETECT_DATA),COUNTY_DATA=B28)),"-")</f>
        <v>14.8</v>
      </c>
      <c r="D28" s="103">
        <f ca="1"/>
        <v>1.8</v>
      </c>
      <c r="F28" s="72" t="s">
        <v>143</v>
      </c>
      <c r="G28" s="111" t="b">
        <v>1</v>
      </c>
      <c r="H28" s="142"/>
    </row>
    <row r="29" spans="1:16" x14ac:dyDescent="0.2">
      <c r="A29" t="s">
        <v>111</v>
      </c>
      <c r="B29" t="str">
        <v>Edgecombe</v>
      </c>
      <c r="C29" s="104" cm="1">
        <f t="array" aca="1" ref="C29" ca="1">IFERROR(MEDIAN(_xlfn._xlws.FILTER(IF(Dashboard!$U$6="Included",ALL_DATA,DETECT_DATA),COUNTY_DATA=B29)),"-")</f>
        <v>20</v>
      </c>
      <c r="D29" s="103">
        <f ca="1"/>
        <v>1.9</v>
      </c>
    </row>
    <row r="30" spans="1:16" x14ac:dyDescent="0.2">
      <c r="A30" t="s">
        <v>111</v>
      </c>
      <c r="B30" t="str">
        <v>Forsyth</v>
      </c>
      <c r="C30" s="104" cm="1">
        <f t="array" aca="1" ref="C30" ca="1">IFERROR(MEDIAN(_xlfn._xlws.FILTER(IF(Dashboard!$U$6="Included",ALL_DATA,DETECT_DATA),COUNTY_DATA=B30)),"-")</f>
        <v>18.5</v>
      </c>
      <c r="D30" s="103">
        <f ca="1"/>
        <v>1.9</v>
      </c>
    </row>
    <row r="31" spans="1:16" x14ac:dyDescent="0.2">
      <c r="A31" t="s">
        <v>111</v>
      </c>
      <c r="B31" t="str">
        <v>Gaston</v>
      </c>
      <c r="C31" s="104" cm="1">
        <f t="array" aca="1" ref="C31" ca="1">IFERROR(MEDIAN(_xlfn._xlws.FILTER(IF(Dashboard!$U$6="Included",ALL_DATA,DETECT_DATA),COUNTY_DATA=B31)),"-")</f>
        <v>20</v>
      </c>
      <c r="D31" s="103">
        <f ca="1"/>
        <v>1.9</v>
      </c>
    </row>
    <row r="32" spans="1:16" x14ac:dyDescent="0.2">
      <c r="A32" t="s">
        <v>111</v>
      </c>
      <c r="B32" t="str">
        <v>Graham</v>
      </c>
      <c r="C32" s="104" cm="1">
        <f t="array" aca="1" ref="C32" ca="1">IFERROR(MEDIAN(_xlfn._xlws.FILTER(IF(Dashboard!$U$6="Included",ALL_DATA,DETECT_DATA),COUNTY_DATA=B32)),"-")</f>
        <v>20</v>
      </c>
      <c r="D32" s="103">
        <f ca="1"/>
        <v>2</v>
      </c>
    </row>
    <row r="33" spans="1:4" x14ac:dyDescent="0.2">
      <c r="A33" t="s">
        <v>111</v>
      </c>
      <c r="B33" t="str">
        <v>Granville</v>
      </c>
      <c r="C33" s="104" cm="1">
        <f t="array" aca="1" ref="C33" ca="1">IFERROR(MEDIAN(_xlfn._xlws.FILTER(IF(Dashboard!$U$6="Included",ALL_DATA,DETECT_DATA),COUNTY_DATA=B33)),"-")</f>
        <v>5.88</v>
      </c>
      <c r="D33" s="103">
        <f ca="1"/>
        <v>2</v>
      </c>
    </row>
    <row r="34" spans="1:4" x14ac:dyDescent="0.2">
      <c r="A34" t="s">
        <v>111</v>
      </c>
      <c r="B34" t="str">
        <v>Guilford</v>
      </c>
      <c r="C34" s="104" cm="1">
        <f t="array" aca="1" ref="C34" ca="1">IFERROR(MEDIAN(_xlfn._xlws.FILTER(IF(Dashboard!$U$6="Included",ALL_DATA,DETECT_DATA),COUNTY_DATA=B34)),"-")</f>
        <v>15</v>
      </c>
      <c r="D34" s="103">
        <f ca="1"/>
        <v>2</v>
      </c>
    </row>
    <row r="35" spans="1:4" x14ac:dyDescent="0.2">
      <c r="A35" t="s">
        <v>111</v>
      </c>
      <c r="B35" t="str">
        <v>Halifax</v>
      </c>
      <c r="C35" s="104" cm="1">
        <f t="array" aca="1" ref="C35" ca="1">IFERROR(MEDIAN(_xlfn._xlws.FILTER(IF(Dashboard!$U$6="Included",ALL_DATA,DETECT_DATA),COUNTY_DATA=B35)),"-")</f>
        <v>22</v>
      </c>
      <c r="D35" s="103">
        <f ca="1"/>
        <v>2</v>
      </c>
    </row>
    <row r="36" spans="1:4" x14ac:dyDescent="0.2">
      <c r="A36" t="s">
        <v>111</v>
      </c>
      <c r="B36" t="str">
        <v>Harnett</v>
      </c>
      <c r="C36" s="104" cm="1">
        <f t="array" aca="1" ref="C36" ca="1">IFERROR(MEDIAN(_xlfn._xlws.FILTER(IF(Dashboard!$U$6="Included",ALL_DATA,DETECT_DATA),COUNTY_DATA=B36)),"-")</f>
        <v>10</v>
      </c>
      <c r="D36" s="103">
        <f ca="1"/>
        <v>2.2000000000000002</v>
      </c>
    </row>
    <row r="37" spans="1:4" x14ac:dyDescent="0.2">
      <c r="A37" t="s">
        <v>111</v>
      </c>
      <c r="B37" t="str">
        <v>Haywood</v>
      </c>
      <c r="C37" s="104" cm="1">
        <f t="array" aca="1" ref="C37" ca="1">IFERROR(MEDIAN(_xlfn._xlws.FILTER(IF(Dashboard!$U$6="Included",ALL_DATA,DETECT_DATA),COUNTY_DATA=B37)),"-")</f>
        <v>27.6</v>
      </c>
      <c r="D37" s="103">
        <f ca="1"/>
        <v>2.2000000000000002</v>
      </c>
    </row>
    <row r="38" spans="1:4" x14ac:dyDescent="0.2">
      <c r="A38" t="s">
        <v>111</v>
      </c>
      <c r="B38" t="str">
        <v>Henderson</v>
      </c>
      <c r="C38" s="104" cm="1">
        <f t="array" aca="1" ref="C38" ca="1">IFERROR(MEDIAN(_xlfn._xlws.FILTER(IF(Dashboard!$U$6="Included",ALL_DATA,DETECT_DATA),COUNTY_DATA=B38)),"-")</f>
        <v>5.8319999999999999</v>
      </c>
      <c r="D38" s="103">
        <f ca="1"/>
        <v>2.2000000000000002</v>
      </c>
    </row>
    <row r="39" spans="1:4" x14ac:dyDescent="0.2">
      <c r="A39" t="s">
        <v>111</v>
      </c>
      <c r="B39" t="str">
        <v>Hertford</v>
      </c>
      <c r="C39" s="104" cm="1">
        <f t="array" aca="1" ref="C39" ca="1">IFERROR(MEDIAN(_xlfn._xlws.FILTER(IF(Dashboard!$U$6="Included",ALL_DATA,DETECT_DATA),COUNTY_DATA=B39)),"-")</f>
        <v>5</v>
      </c>
      <c r="D39" s="103">
        <f ca="1"/>
        <v>2.2000000000000002</v>
      </c>
    </row>
    <row r="40" spans="1:4" x14ac:dyDescent="0.2">
      <c r="A40" t="s">
        <v>111</v>
      </c>
      <c r="B40" t="str">
        <v>Hoke</v>
      </c>
      <c r="C40" s="104" cm="1">
        <f t="array" aca="1" ref="C40" ca="1">IFERROR(MEDIAN(_xlfn._xlws.FILTER(IF(Dashboard!$U$6="Included",ALL_DATA,DETECT_DATA),COUNTY_DATA=B40)),"-")</f>
        <v>15</v>
      </c>
      <c r="D40" s="103">
        <f ca="1"/>
        <v>2.2000000000000002</v>
      </c>
    </row>
    <row r="41" spans="1:4" x14ac:dyDescent="0.2">
      <c r="A41" t="s">
        <v>111</v>
      </c>
      <c r="B41" t="str">
        <v>Hyde</v>
      </c>
      <c r="C41" s="104" cm="1">
        <f t="array" aca="1" ref="C41" ca="1">IFERROR(MEDIAN(_xlfn._xlws.FILTER(IF(Dashboard!$U$6="Included",ALL_DATA,DETECT_DATA),COUNTY_DATA=B41)),"-")</f>
        <v>5.0999999999999996</v>
      </c>
      <c r="D41" s="103">
        <f ca="1"/>
        <v>2.2999999999999998</v>
      </c>
    </row>
    <row r="42" spans="1:4" x14ac:dyDescent="0.2">
      <c r="A42" t="s">
        <v>111</v>
      </c>
      <c r="B42" t="str">
        <v>Iredell</v>
      </c>
      <c r="C42" s="104" cm="1">
        <f t="array" aca="1" ref="C42" ca="1">IFERROR(MEDIAN(_xlfn._xlws.FILTER(IF(Dashboard!$U$6="Included",ALL_DATA,DETECT_DATA),COUNTY_DATA=B42)),"-")</f>
        <v>22</v>
      </c>
      <c r="D42" s="103">
        <f ca="1"/>
        <v>2.2999999999999998</v>
      </c>
    </row>
    <row r="43" spans="1:4" x14ac:dyDescent="0.2">
      <c r="A43" t="s">
        <v>111</v>
      </c>
      <c r="B43" t="str">
        <v>Johnston</v>
      </c>
      <c r="C43" s="104" cm="1">
        <f t="array" aca="1" ref="C43" ca="1">IFERROR(MEDIAN(_xlfn._xlws.FILTER(IF(Dashboard!$U$6="Included",ALL_DATA,DETECT_DATA),COUNTY_DATA=B43)),"-")</f>
        <v>20</v>
      </c>
      <c r="D43" s="103">
        <f ca="1"/>
        <v>2.2999999999999998</v>
      </c>
    </row>
    <row r="44" spans="1:4" x14ac:dyDescent="0.2">
      <c r="A44" t="s">
        <v>111</v>
      </c>
      <c r="B44" t="str">
        <v>Lee</v>
      </c>
      <c r="C44" s="104" cm="1">
        <f t="array" aca="1" ref="C44" ca="1">IFERROR(MEDIAN(_xlfn._xlws.FILTER(IF(Dashboard!$U$6="Included",ALL_DATA,DETECT_DATA),COUNTY_DATA=B44)),"-")</f>
        <v>15.64</v>
      </c>
      <c r="D44" s="103">
        <f ca="1"/>
        <v>2.2999999999999998</v>
      </c>
    </row>
    <row r="45" spans="1:4" x14ac:dyDescent="0.2">
      <c r="A45" t="s">
        <v>111</v>
      </c>
      <c r="B45" t="str">
        <v>Lenoir</v>
      </c>
      <c r="C45" s="104" cm="1">
        <f t="array" aca="1" ref="C45" ca="1">IFERROR(MEDIAN(_xlfn._xlws.FILTER(IF(Dashboard!$U$6="Included",ALL_DATA,DETECT_DATA),COUNTY_DATA=B45)),"-")</f>
        <v>4</v>
      </c>
      <c r="D45" s="103">
        <f ca="1"/>
        <v>2.3039999999999998</v>
      </c>
    </row>
    <row r="46" spans="1:4" x14ac:dyDescent="0.2">
      <c r="A46" t="s">
        <v>111</v>
      </c>
      <c r="B46" t="str">
        <v>Lincoln</v>
      </c>
      <c r="C46" s="104" cm="1">
        <f t="array" aca="1" ref="C46" ca="1">IFERROR(MEDIAN(_xlfn._xlws.FILTER(IF(Dashboard!$U$6="Included",ALL_DATA,DETECT_DATA),COUNTY_DATA=B46)),"-")</f>
        <v>28</v>
      </c>
      <c r="D46" s="103">
        <f ca="1"/>
        <v>2.4</v>
      </c>
    </row>
    <row r="47" spans="1:4" x14ac:dyDescent="0.2">
      <c r="A47" t="s">
        <v>111</v>
      </c>
      <c r="B47" t="str">
        <v>Madison</v>
      </c>
      <c r="C47" s="104" cm="1">
        <f t="array" aca="1" ref="C47" ca="1">IFERROR(MEDIAN(_xlfn._xlws.FILTER(IF(Dashboard!$U$6="Included",ALL_DATA,DETECT_DATA),COUNTY_DATA=B47)),"-")</f>
        <v>17.75</v>
      </c>
      <c r="D47" s="103">
        <f ca="1"/>
        <v>2.4</v>
      </c>
    </row>
    <row r="48" spans="1:4" x14ac:dyDescent="0.2">
      <c r="A48" t="s">
        <v>111</v>
      </c>
      <c r="B48" t="str">
        <v>Martin</v>
      </c>
      <c r="C48" s="104" cm="1">
        <f t="array" aca="1" ref="C48" ca="1">IFERROR(MEDIAN(_xlfn._xlws.FILTER(IF(Dashboard!$U$6="Included",ALL_DATA,DETECT_DATA),COUNTY_DATA=B48)),"-")</f>
        <v>5.0000000000000001E-3</v>
      </c>
      <c r="D48" s="103">
        <f ca="1"/>
        <v>2.4</v>
      </c>
    </row>
    <row r="49" spans="1:4" x14ac:dyDescent="0.2">
      <c r="A49" t="s">
        <v>111</v>
      </c>
      <c r="B49" t="str">
        <v>McDowell</v>
      </c>
      <c r="C49" s="104" cm="1">
        <f t="array" aca="1" ref="C49" ca="1">IFERROR(MEDIAN(_xlfn._xlws.FILTER(IF(Dashboard!$U$6="Included",ALL_DATA,DETECT_DATA),COUNTY_DATA=B49)),"-")</f>
        <v>15.2</v>
      </c>
      <c r="D49" s="103">
        <f ca="1"/>
        <v>2.4</v>
      </c>
    </row>
    <row r="50" spans="1:4" x14ac:dyDescent="0.2">
      <c r="A50" t="s">
        <v>111</v>
      </c>
      <c r="B50" t="str">
        <v>Mecklenburg</v>
      </c>
      <c r="C50" s="104" cm="1">
        <f t="array" aca="1" ref="C50" ca="1">IFERROR(MEDIAN(_xlfn._xlws.FILTER(IF(Dashboard!$U$6="Included",ALL_DATA,DETECT_DATA),COUNTY_DATA=B50)),"-")</f>
        <v>12</v>
      </c>
      <c r="D50" s="103">
        <f ca="1"/>
        <v>2.5</v>
      </c>
    </row>
    <row r="51" spans="1:4" x14ac:dyDescent="0.2">
      <c r="A51" t="s">
        <v>111</v>
      </c>
      <c r="B51" t="str">
        <v>Mitchell</v>
      </c>
      <c r="C51" s="104" cm="1">
        <f t="array" aca="1" ref="C51" ca="1">IFERROR(MEDIAN(_xlfn._xlws.FILTER(IF(Dashboard!$U$6="Included",ALL_DATA,DETECT_DATA),COUNTY_DATA=B51)),"-")</f>
        <v>13.536</v>
      </c>
      <c r="D51" s="103">
        <f ca="1"/>
        <v>2.5</v>
      </c>
    </row>
    <row r="52" spans="1:4" x14ac:dyDescent="0.2">
      <c r="A52" t="s">
        <v>111</v>
      </c>
      <c r="B52" t="str">
        <v>Moore</v>
      </c>
      <c r="C52" s="104" cm="1">
        <f t="array" aca="1" ref="C52" ca="1">IFERROR(MEDIAN(_xlfn._xlws.FILTER(IF(Dashboard!$U$6="Included",ALL_DATA,DETECT_DATA),COUNTY_DATA=B52)),"-")</f>
        <v>7.7</v>
      </c>
      <c r="D52" s="103">
        <f ca="1"/>
        <v>2.6</v>
      </c>
    </row>
    <row r="53" spans="1:4" x14ac:dyDescent="0.2">
      <c r="A53" t="s">
        <v>111</v>
      </c>
      <c r="B53" t="str">
        <v>Nash</v>
      </c>
      <c r="C53" s="104" cm="1">
        <f t="array" aca="1" ref="C53" ca="1">IFERROR(MEDIAN(_xlfn._xlws.FILTER(IF(Dashboard!$U$6="Included",ALL_DATA,DETECT_DATA),COUNTY_DATA=B53)),"-")</f>
        <v>15.25</v>
      </c>
      <c r="D53" s="103">
        <f ca="1"/>
        <v>2.6</v>
      </c>
    </row>
    <row r="54" spans="1:4" x14ac:dyDescent="0.2">
      <c r="A54" t="s">
        <v>111</v>
      </c>
      <c r="B54" t="str">
        <v>New Hanover</v>
      </c>
      <c r="C54" s="104" cm="1">
        <f t="array" aca="1" ref="C54" ca="1">IFERROR(MEDIAN(_xlfn._xlws.FILTER(IF(Dashboard!$U$6="Included",ALL_DATA,DETECT_DATA),COUNTY_DATA=B54)),"-")</f>
        <v>5.61</v>
      </c>
      <c r="D54" s="103">
        <f ca="1"/>
        <v>2.8</v>
      </c>
    </row>
    <row r="55" spans="1:4" x14ac:dyDescent="0.2">
      <c r="A55" t="s">
        <v>111</v>
      </c>
      <c r="B55" t="str">
        <v>Onslow</v>
      </c>
      <c r="C55" s="104" cm="1">
        <f t="array" aca="1" ref="C55" ca="1">IFERROR(MEDIAN(_xlfn._xlws.FILTER(IF(Dashboard!$U$6="Included",ALL_DATA,DETECT_DATA),COUNTY_DATA=B55)),"-")</f>
        <v>23.052</v>
      </c>
      <c r="D55" s="103">
        <f ca="1"/>
        <v>2.8</v>
      </c>
    </row>
    <row r="56" spans="1:4" x14ac:dyDescent="0.2">
      <c r="A56" t="s">
        <v>111</v>
      </c>
      <c r="B56" t="str">
        <v>Orange</v>
      </c>
      <c r="C56" s="104" cm="1">
        <f t="array" aca="1" ref="C56" ca="1">IFERROR(MEDIAN(_xlfn._xlws.FILTER(IF(Dashboard!$U$6="Included",ALL_DATA,DETECT_DATA),COUNTY_DATA=B56)),"-")</f>
        <v>12.600000000000001</v>
      </c>
      <c r="D56" s="103">
        <f ca="1"/>
        <v>2.9</v>
      </c>
    </row>
    <row r="57" spans="1:4" x14ac:dyDescent="0.2">
      <c r="A57" t="s">
        <v>111</v>
      </c>
      <c r="B57" t="str">
        <v>Pasquotank</v>
      </c>
      <c r="C57" s="104" cm="1">
        <f t="array" aca="1" ref="C57" ca="1">IFERROR(MEDIAN(_xlfn._xlws.FILTER(IF(Dashboard!$U$6="Included",ALL_DATA,DETECT_DATA),COUNTY_DATA=B57)),"-")</f>
        <v>5.7023999999999999</v>
      </c>
      <c r="D57" s="103">
        <f ca="1"/>
        <v>2.9</v>
      </c>
    </row>
    <row r="58" spans="1:4" x14ac:dyDescent="0.2">
      <c r="A58" t="s">
        <v>111</v>
      </c>
      <c r="B58" t="str">
        <v>Pender</v>
      </c>
      <c r="C58" s="104" cm="1">
        <f t="array" aca="1" ref="C58" ca="1">IFERROR(MEDIAN(_xlfn._xlws.FILTER(IF(Dashboard!$U$6="Included",ALL_DATA,DETECT_DATA),COUNTY_DATA=B58)),"-")</f>
        <v>2.4000000000000004</v>
      </c>
      <c r="D58" s="103">
        <f ca="1"/>
        <v>2.9</v>
      </c>
    </row>
    <row r="59" spans="1:4" x14ac:dyDescent="0.2">
      <c r="A59" t="s">
        <v>111</v>
      </c>
      <c r="B59" t="str">
        <v>Person</v>
      </c>
      <c r="C59" s="104" cm="1">
        <f t="array" aca="1" ref="C59" ca="1">IFERROR(MEDIAN(_xlfn._xlws.FILTER(IF(Dashboard!$U$6="Included",ALL_DATA,DETECT_DATA),COUNTY_DATA=B59)),"-")</f>
        <v>10</v>
      </c>
      <c r="D59" s="103">
        <f ca="1"/>
        <v>3</v>
      </c>
    </row>
    <row r="60" spans="1:4" x14ac:dyDescent="0.2">
      <c r="A60" t="s">
        <v>111</v>
      </c>
      <c r="B60" t="str">
        <v>Pitt</v>
      </c>
      <c r="C60" s="104" cm="1">
        <f t="array" aca="1" ref="C60" ca="1">IFERROR(MEDIAN(_xlfn._xlws.FILTER(IF(Dashboard!$U$6="Included",ALL_DATA,DETECT_DATA),COUNTY_DATA=B60)),"-")</f>
        <v>13.103999999999999</v>
      </c>
      <c r="D60" s="103">
        <f ca="1"/>
        <v>3</v>
      </c>
    </row>
    <row r="61" spans="1:4" x14ac:dyDescent="0.2">
      <c r="A61" t="s">
        <v>111</v>
      </c>
      <c r="B61" t="str">
        <v>Randolph</v>
      </c>
      <c r="C61" s="104" cm="1">
        <f t="array" aca="1" ref="C61" ca="1">IFERROR(MEDIAN(_xlfn._xlws.FILTER(IF(Dashboard!$U$6="Included",ALL_DATA,DETECT_DATA),COUNTY_DATA=B61)),"-")</f>
        <v>14</v>
      </c>
      <c r="D61" s="103">
        <f ca="1"/>
        <v>3</v>
      </c>
    </row>
    <row r="62" spans="1:4" x14ac:dyDescent="0.2">
      <c r="A62" t="s">
        <v>111</v>
      </c>
      <c r="B62" t="str">
        <v>Richmond</v>
      </c>
      <c r="C62" s="104" cm="1">
        <f t="array" aca="1" ref="C62" ca="1">IFERROR(MEDIAN(_xlfn._xlws.FILTER(IF(Dashboard!$U$6="Included",ALL_DATA,DETECT_DATA),COUNTY_DATA=B62)),"-")</f>
        <v>20</v>
      </c>
      <c r="D62" s="103">
        <f ca="1"/>
        <v>3</v>
      </c>
    </row>
    <row r="63" spans="1:4" x14ac:dyDescent="0.2">
      <c r="A63" t="s">
        <v>111</v>
      </c>
      <c r="B63" t="str">
        <v>Robeson</v>
      </c>
      <c r="C63" s="104" cm="1">
        <f t="array" aca="1" ref="C63" ca="1">IFERROR(MEDIAN(_xlfn._xlws.FILTER(IF(Dashboard!$U$6="Included",ALL_DATA,DETECT_DATA),COUNTY_DATA=B63)),"-")</f>
        <v>7.4879999999999995</v>
      </c>
      <c r="D63" s="103">
        <f ca="1"/>
        <v>3</v>
      </c>
    </row>
    <row r="64" spans="1:4" x14ac:dyDescent="0.2">
      <c r="A64" t="s">
        <v>111</v>
      </c>
      <c r="B64" t="str">
        <v>Rockingham</v>
      </c>
      <c r="C64" s="104" cm="1">
        <f t="array" aca="1" ref="C64" ca="1">IFERROR(MEDIAN(_xlfn._xlws.FILTER(IF(Dashboard!$U$6="Included",ALL_DATA,DETECT_DATA),COUNTY_DATA=B64)),"-")</f>
        <v>33.119999999999997</v>
      </c>
      <c r="D64" s="103">
        <f ca="1"/>
        <v>3</v>
      </c>
    </row>
    <row r="65" spans="1:4" x14ac:dyDescent="0.2">
      <c r="A65" t="s">
        <v>111</v>
      </c>
      <c r="B65" t="str">
        <v>Rowan</v>
      </c>
      <c r="C65" s="104" cm="1">
        <f t="array" aca="1" ref="C65" ca="1">IFERROR(MEDIAN(_xlfn._xlws.FILTER(IF(Dashboard!$U$6="Included",ALL_DATA,DETECT_DATA),COUNTY_DATA=B65)),"-")</f>
        <v>13.65</v>
      </c>
      <c r="D65" s="103">
        <f ca="1"/>
        <v>3</v>
      </c>
    </row>
    <row r="66" spans="1:4" x14ac:dyDescent="0.2">
      <c r="A66" t="s">
        <v>111</v>
      </c>
      <c r="B66" t="str">
        <v>Rutherford</v>
      </c>
      <c r="C66" s="104" cm="1">
        <f t="array" aca="1" ref="C66" ca="1">IFERROR(MEDIAN(_xlfn._xlws.FILTER(IF(Dashboard!$U$6="Included",ALL_DATA,DETECT_DATA),COUNTY_DATA=B66)),"-")</f>
        <v>24</v>
      </c>
      <c r="D66" s="103">
        <f ca="1"/>
        <v>3</v>
      </c>
    </row>
    <row r="67" spans="1:4" x14ac:dyDescent="0.2">
      <c r="A67" t="s">
        <v>111</v>
      </c>
      <c r="B67" t="str">
        <v>Sampson</v>
      </c>
      <c r="C67" s="104" cm="1">
        <f t="array" aca="1" ref="C67" ca="1">IFERROR(MEDIAN(_xlfn._xlws.FILTER(IF(Dashboard!$U$6="Included",ALL_DATA,DETECT_DATA),COUNTY_DATA=B67)),"-")</f>
        <v>4</v>
      </c>
      <c r="D67" s="103">
        <f ca="1"/>
        <v>3</v>
      </c>
    </row>
    <row r="68" spans="1:4" x14ac:dyDescent="0.2">
      <c r="A68" t="s">
        <v>111</v>
      </c>
      <c r="B68" t="str">
        <v>Scotland</v>
      </c>
      <c r="C68" s="104" cm="1">
        <f t="array" aca="1" ref="C68" ca="1">IFERROR(MEDIAN(_xlfn._xlws.FILTER(IF(Dashboard!$U$6="Included",ALL_DATA,DETECT_DATA),COUNTY_DATA=B68)),"-")</f>
        <v>13.967999999999998</v>
      </c>
      <c r="D68" s="103">
        <f ca="1"/>
        <v>3.2976000000000001</v>
      </c>
    </row>
    <row r="69" spans="1:4" x14ac:dyDescent="0.2">
      <c r="A69" t="s">
        <v>111</v>
      </c>
      <c r="B69" t="str">
        <v>Stokes</v>
      </c>
      <c r="C69" s="104" cm="1">
        <f t="array" aca="1" ref="C69" ca="1">IFERROR(MEDIAN(_xlfn._xlws.FILTER(IF(Dashboard!$U$6="Included",ALL_DATA,DETECT_DATA),COUNTY_DATA=B69)),"-")</f>
        <v>9.0719999999999992</v>
      </c>
      <c r="D69" s="103">
        <f ca="1"/>
        <v>3.327</v>
      </c>
    </row>
    <row r="70" spans="1:4" x14ac:dyDescent="0.2">
      <c r="A70" t="s">
        <v>111</v>
      </c>
      <c r="B70" t="str">
        <v>Surry</v>
      </c>
      <c r="C70" s="104" cm="1">
        <f t="array" aca="1" ref="C70" ca="1">IFERROR(MEDIAN(_xlfn._xlws.FILTER(IF(Dashboard!$U$6="Included",ALL_DATA,DETECT_DATA),COUNTY_DATA=B70)),"-")</f>
        <v>18.28</v>
      </c>
      <c r="D70" s="103">
        <f ca="1"/>
        <v>3.36</v>
      </c>
    </row>
    <row r="71" spans="1:4" x14ac:dyDescent="0.2">
      <c r="A71" t="s">
        <v>111</v>
      </c>
      <c r="B71" t="str">
        <v>Swain</v>
      </c>
      <c r="C71" s="104" cm="1">
        <f t="array" aca="1" ref="C71" ca="1">IFERROR(MEDIAN(_xlfn._xlws.FILTER(IF(Dashboard!$U$6="Included",ALL_DATA,DETECT_DATA),COUNTY_DATA=B71)),"-")</f>
        <v>13</v>
      </c>
      <c r="D71" s="103">
        <f ca="1"/>
        <v>3.4</v>
      </c>
    </row>
    <row r="72" spans="1:4" x14ac:dyDescent="0.2">
      <c r="A72" t="s">
        <v>111</v>
      </c>
      <c r="B72" t="str">
        <v>Transylvania</v>
      </c>
      <c r="C72" s="104" cm="1">
        <f t="array" aca="1" ref="C72" ca="1">IFERROR(MEDIAN(_xlfn._xlws.FILTER(IF(Dashboard!$U$6="Included",ALL_DATA,DETECT_DATA),COUNTY_DATA=B72)),"-")</f>
        <v>9.8500000000000014</v>
      </c>
      <c r="D72" s="103">
        <f ca="1"/>
        <v>3.4</v>
      </c>
    </row>
    <row r="73" spans="1:4" x14ac:dyDescent="0.2">
      <c r="A73" t="s">
        <v>111</v>
      </c>
      <c r="B73" t="str">
        <v>Union</v>
      </c>
      <c r="C73" s="104" cm="1">
        <f t="array" aca="1" ref="C73" ca="1">IFERROR(MEDIAN(_xlfn._xlws.FILTER(IF(Dashboard!$U$6="Included",ALL_DATA,DETECT_DATA),COUNTY_DATA=B73)),"-")</f>
        <v>21.599999999999998</v>
      </c>
      <c r="D73" s="103">
        <f ca="1"/>
        <v>3.4</v>
      </c>
    </row>
    <row r="74" spans="1:4" x14ac:dyDescent="0.2">
      <c r="A74" t="s">
        <v>111</v>
      </c>
      <c r="B74" t="str">
        <v>Vance</v>
      </c>
      <c r="C74" s="104" cm="1">
        <f t="array" aca="1" ref="C74" ca="1">IFERROR(MEDIAN(_xlfn._xlws.FILTER(IF(Dashboard!$U$6="Included",ALL_DATA,DETECT_DATA),COUNTY_DATA=B74)),"-")</f>
        <v>20</v>
      </c>
      <c r="D74" s="103">
        <f ca="1"/>
        <v>3.4</v>
      </c>
    </row>
    <row r="75" spans="1:4" x14ac:dyDescent="0.2">
      <c r="A75" t="s">
        <v>111</v>
      </c>
      <c r="B75" t="str">
        <v>Wake</v>
      </c>
      <c r="C75" s="104" cm="1">
        <f t="array" aca="1" ref="C75" ca="1">IFERROR(MEDIAN(_xlfn._xlws.FILTER(IF(Dashboard!$U$6="Included",ALL_DATA,DETECT_DATA),COUNTY_DATA=B75)),"-")</f>
        <v>16</v>
      </c>
      <c r="D75" s="103">
        <f ca="1"/>
        <v>3.44</v>
      </c>
    </row>
    <row r="76" spans="1:4" x14ac:dyDescent="0.2">
      <c r="A76" t="s">
        <v>111</v>
      </c>
      <c r="B76" t="str">
        <v>Wayne</v>
      </c>
      <c r="C76" s="104" cm="1">
        <f t="array" aca="1" ref="C76" ca="1">IFERROR(MEDIAN(_xlfn._xlws.FILTER(IF(Dashboard!$U$6="Included",ALL_DATA,DETECT_DATA),COUNTY_DATA=B76)),"-")</f>
        <v>18</v>
      </c>
      <c r="D76" s="103">
        <f ca="1"/>
        <v>3.5</v>
      </c>
    </row>
    <row r="77" spans="1:4" x14ac:dyDescent="0.2">
      <c r="A77" t="s">
        <v>111</v>
      </c>
      <c r="B77" t="str">
        <v>Wilson</v>
      </c>
      <c r="C77" s="104" cm="1">
        <f t="array" aca="1" ref="C77" ca="1">IFERROR(MEDIAN(_xlfn._xlws.FILTER(IF(Dashboard!$U$6="Included",ALL_DATA,DETECT_DATA),COUNTY_DATA=B77)),"-")</f>
        <v>5</v>
      </c>
      <c r="D77" s="103">
        <f ca="1"/>
        <v>3.5423999999999998</v>
      </c>
    </row>
    <row r="78" spans="1:4" x14ac:dyDescent="0.2">
      <c r="A78" t="s">
        <v>111</v>
      </c>
      <c r="B78" t="str">
        <v>Yadkin</v>
      </c>
      <c r="C78" s="104" cm="1">
        <f t="array" aca="1" ref="C78" ca="1">IFERROR(MEDIAN(_xlfn._xlws.FILTER(IF(Dashboard!$U$6="Included",ALL_DATA,DETECT_DATA),COUNTY_DATA=B78)),"-")</f>
        <v>20</v>
      </c>
      <c r="D78" s="103">
        <f ca="1"/>
        <v>3.5999999999999996</v>
      </c>
    </row>
    <row r="79" spans="1:4" x14ac:dyDescent="0.2">
      <c r="A79" t="s">
        <v>111</v>
      </c>
      <c r="B79" t="str">
        <v>Yancey</v>
      </c>
      <c r="C79" s="104" cm="1">
        <f t="array" aca="1" ref="C79" ca="1">IFERROR(MEDIAN(_xlfn._xlws.FILTER(IF(Dashboard!$U$6="Included",ALL_DATA,DETECT_DATA),COUNTY_DATA=B79)),"-")</f>
        <v>19</v>
      </c>
      <c r="D79" s="103">
        <f ca="1"/>
        <v>3.5999999999999996</v>
      </c>
    </row>
    <row r="80" spans="1:4" x14ac:dyDescent="0.2">
      <c r="D80" s="103">
        <f ca="1"/>
        <v>3.5999999999999996</v>
      </c>
    </row>
    <row r="81" spans="4:4" x14ac:dyDescent="0.2">
      <c r="D81" s="103">
        <f ca="1"/>
        <v>3.6</v>
      </c>
    </row>
    <row r="82" spans="4:4" x14ac:dyDescent="0.2">
      <c r="D82" s="103">
        <f ca="1"/>
        <v>3.6</v>
      </c>
    </row>
    <row r="83" spans="4:4" x14ac:dyDescent="0.2">
      <c r="D83" s="103">
        <f ca="1"/>
        <v>3.6</v>
      </c>
    </row>
    <row r="84" spans="4:4" x14ac:dyDescent="0.2">
      <c r="D84" s="103">
        <f ca="1"/>
        <v>3.6</v>
      </c>
    </row>
    <row r="85" spans="4:4" x14ac:dyDescent="0.2">
      <c r="D85" s="103">
        <f ca="1"/>
        <v>3.61</v>
      </c>
    </row>
    <row r="86" spans="4:4" x14ac:dyDescent="0.2">
      <c r="D86" s="103">
        <f ca="1"/>
        <v>3.7</v>
      </c>
    </row>
    <row r="87" spans="4:4" x14ac:dyDescent="0.2">
      <c r="D87" s="103">
        <f ca="1"/>
        <v>3.7</v>
      </c>
    </row>
    <row r="88" spans="4:4" x14ac:dyDescent="0.2">
      <c r="D88" s="103">
        <f ca="1"/>
        <v>3.7</v>
      </c>
    </row>
    <row r="89" spans="4:4" x14ac:dyDescent="0.2">
      <c r="D89" s="103">
        <f ca="1"/>
        <v>3.7</v>
      </c>
    </row>
    <row r="90" spans="4:4" x14ac:dyDescent="0.2">
      <c r="D90" s="103">
        <f ca="1"/>
        <v>3.7439999999999998</v>
      </c>
    </row>
    <row r="91" spans="4:4" x14ac:dyDescent="0.2">
      <c r="D91" s="103">
        <f ca="1"/>
        <v>3.7728000000000002</v>
      </c>
    </row>
    <row r="92" spans="4:4" x14ac:dyDescent="0.2">
      <c r="D92" s="103">
        <f ca="1"/>
        <v>3.8879999999999999</v>
      </c>
    </row>
    <row r="93" spans="4:4" x14ac:dyDescent="0.2">
      <c r="D93" s="103">
        <f ca="1"/>
        <v>3.9</v>
      </c>
    </row>
    <row r="94" spans="4:4" x14ac:dyDescent="0.2">
      <c r="D94" s="103">
        <f ca="1"/>
        <v>4</v>
      </c>
    </row>
    <row r="95" spans="4:4" x14ac:dyDescent="0.2">
      <c r="D95" s="103">
        <f ca="1"/>
        <v>4</v>
      </c>
    </row>
    <row r="96" spans="4:4" x14ac:dyDescent="0.2">
      <c r="D96" s="103">
        <f ca="1"/>
        <v>4</v>
      </c>
    </row>
    <row r="97" spans="4:4" x14ac:dyDescent="0.2">
      <c r="D97" s="103">
        <f ca="1"/>
        <v>4</v>
      </c>
    </row>
    <row r="98" spans="4:4" x14ac:dyDescent="0.2">
      <c r="D98" s="103">
        <f ca="1"/>
        <v>4</v>
      </c>
    </row>
    <row r="99" spans="4:4" x14ac:dyDescent="0.2">
      <c r="D99" s="103">
        <f ca="1"/>
        <v>4</v>
      </c>
    </row>
    <row r="100" spans="4:4" x14ac:dyDescent="0.2">
      <c r="D100" s="103">
        <f ca="1"/>
        <v>4</v>
      </c>
    </row>
    <row r="101" spans="4:4" x14ac:dyDescent="0.2">
      <c r="D101" s="103">
        <f ca="1"/>
        <v>4</v>
      </c>
    </row>
    <row r="102" spans="4:4" x14ac:dyDescent="0.2">
      <c r="D102" s="103">
        <f ca="1"/>
        <v>4</v>
      </c>
    </row>
    <row r="103" spans="4:4" x14ac:dyDescent="0.2">
      <c r="D103" s="103">
        <f ca="1"/>
        <v>4</v>
      </c>
    </row>
    <row r="104" spans="4:4" x14ac:dyDescent="0.2">
      <c r="D104" s="103">
        <f ca="1"/>
        <v>4</v>
      </c>
    </row>
    <row r="105" spans="4:4" x14ac:dyDescent="0.2">
      <c r="D105" s="103">
        <f ca="1"/>
        <v>4</v>
      </c>
    </row>
    <row r="106" spans="4:4" x14ac:dyDescent="0.2">
      <c r="D106" s="103">
        <f ca="1"/>
        <v>4</v>
      </c>
    </row>
    <row r="107" spans="4:4" x14ac:dyDescent="0.2">
      <c r="D107" s="103">
        <f ca="1"/>
        <v>4</v>
      </c>
    </row>
    <row r="108" spans="4:4" x14ac:dyDescent="0.2">
      <c r="D108" s="103">
        <f ca="1"/>
        <v>4</v>
      </c>
    </row>
    <row r="109" spans="4:4" x14ac:dyDescent="0.2">
      <c r="D109" s="103">
        <f ca="1"/>
        <v>4.032</v>
      </c>
    </row>
    <row r="110" spans="4:4" x14ac:dyDescent="0.2">
      <c r="D110" s="103">
        <f ca="1"/>
        <v>4.1760000000000002</v>
      </c>
    </row>
    <row r="111" spans="4:4" x14ac:dyDescent="0.2">
      <c r="D111" s="103">
        <f ca="1"/>
        <v>4.1760000000000002</v>
      </c>
    </row>
    <row r="112" spans="4:4" x14ac:dyDescent="0.2">
      <c r="D112" s="103">
        <f ca="1"/>
        <v>4.2</v>
      </c>
    </row>
    <row r="113" spans="4:4" x14ac:dyDescent="0.2">
      <c r="D113" s="103">
        <f ca="1"/>
        <v>4.2</v>
      </c>
    </row>
    <row r="114" spans="4:4" x14ac:dyDescent="0.2">
      <c r="D114" s="103">
        <f ca="1"/>
        <v>4.3</v>
      </c>
    </row>
    <row r="115" spans="4:4" x14ac:dyDescent="0.2">
      <c r="D115" s="103">
        <f ca="1"/>
        <v>4.4000000000000004</v>
      </c>
    </row>
    <row r="116" spans="4:4" x14ac:dyDescent="0.2">
      <c r="D116" s="103">
        <f ca="1"/>
        <v>4.4639999999999995</v>
      </c>
    </row>
    <row r="117" spans="4:4" x14ac:dyDescent="0.2">
      <c r="D117" s="103">
        <f ca="1"/>
        <v>4.4639999999999995</v>
      </c>
    </row>
    <row r="118" spans="4:4" x14ac:dyDescent="0.2">
      <c r="D118" s="103">
        <f ca="1"/>
        <v>4.5</v>
      </c>
    </row>
    <row r="119" spans="4:4" x14ac:dyDescent="0.2">
      <c r="D119" s="103">
        <f ca="1"/>
        <v>4.5</v>
      </c>
    </row>
    <row r="120" spans="4:4" x14ac:dyDescent="0.2">
      <c r="D120" s="103">
        <f ca="1"/>
        <v>4.5</v>
      </c>
    </row>
    <row r="121" spans="4:4" x14ac:dyDescent="0.2">
      <c r="D121" s="103">
        <f ca="1"/>
        <v>4.7</v>
      </c>
    </row>
    <row r="122" spans="4:4" x14ac:dyDescent="0.2">
      <c r="D122" s="103">
        <f ca="1"/>
        <v>4.7</v>
      </c>
    </row>
    <row r="123" spans="4:4" x14ac:dyDescent="0.2">
      <c r="D123" s="103">
        <f ca="1"/>
        <v>4.7</v>
      </c>
    </row>
    <row r="124" spans="4:4" x14ac:dyDescent="0.2">
      <c r="D124" s="103">
        <f ca="1"/>
        <v>4.75</v>
      </c>
    </row>
    <row r="125" spans="4:4" x14ac:dyDescent="0.2">
      <c r="D125" s="103">
        <f ca="1"/>
        <v>4.7519999999999998</v>
      </c>
    </row>
    <row r="126" spans="4:4" x14ac:dyDescent="0.2">
      <c r="D126" s="103">
        <f ca="1"/>
        <v>4.8</v>
      </c>
    </row>
    <row r="127" spans="4:4" x14ac:dyDescent="0.2">
      <c r="D127" s="103">
        <f ca="1"/>
        <v>4.9000000000000004</v>
      </c>
    </row>
    <row r="128" spans="4:4" x14ac:dyDescent="0.2">
      <c r="D128" s="103">
        <f ca="1"/>
        <v>5</v>
      </c>
    </row>
    <row r="129" spans="4:4" x14ac:dyDescent="0.2">
      <c r="D129" s="103">
        <f ca="1"/>
        <v>5</v>
      </c>
    </row>
    <row r="130" spans="4:4" x14ac:dyDescent="0.2">
      <c r="D130" s="103">
        <f ca="1"/>
        <v>5</v>
      </c>
    </row>
    <row r="131" spans="4:4" x14ac:dyDescent="0.2">
      <c r="D131" s="103">
        <f ca="1"/>
        <v>5</v>
      </c>
    </row>
    <row r="132" spans="4:4" x14ac:dyDescent="0.2">
      <c r="D132" s="103">
        <f ca="1"/>
        <v>5</v>
      </c>
    </row>
    <row r="133" spans="4:4" x14ac:dyDescent="0.2">
      <c r="D133" s="103">
        <f ca="1"/>
        <v>5</v>
      </c>
    </row>
    <row r="134" spans="4:4" x14ac:dyDescent="0.2">
      <c r="D134" s="103">
        <f ca="1"/>
        <v>5</v>
      </c>
    </row>
    <row r="135" spans="4:4" x14ac:dyDescent="0.2">
      <c r="D135" s="103">
        <f ca="1"/>
        <v>5</v>
      </c>
    </row>
    <row r="136" spans="4:4" x14ac:dyDescent="0.2">
      <c r="D136" s="103">
        <f ca="1"/>
        <v>5</v>
      </c>
    </row>
    <row r="137" spans="4:4" x14ac:dyDescent="0.2">
      <c r="D137" s="103">
        <f ca="1"/>
        <v>5</v>
      </c>
    </row>
    <row r="138" spans="4:4" x14ac:dyDescent="0.2">
      <c r="D138" s="103">
        <f ca="1"/>
        <v>5.0999999999999996</v>
      </c>
    </row>
    <row r="139" spans="4:4" x14ac:dyDescent="0.2">
      <c r="D139" s="103">
        <f ca="1"/>
        <v>5.0999999999999996</v>
      </c>
    </row>
    <row r="140" spans="4:4" x14ac:dyDescent="0.2">
      <c r="D140" s="103">
        <f ca="1"/>
        <v>5.1840000000000002</v>
      </c>
    </row>
    <row r="141" spans="4:4" x14ac:dyDescent="0.2">
      <c r="D141" s="103">
        <f ca="1"/>
        <v>5.2</v>
      </c>
    </row>
    <row r="142" spans="4:4" x14ac:dyDescent="0.2">
      <c r="D142" s="103">
        <f ca="1"/>
        <v>5.2</v>
      </c>
    </row>
    <row r="143" spans="4:4" x14ac:dyDescent="0.2">
      <c r="D143" s="103">
        <f ca="1"/>
        <v>5.2</v>
      </c>
    </row>
    <row r="144" spans="4:4" x14ac:dyDescent="0.2">
      <c r="D144" s="103">
        <f ca="1"/>
        <v>5.3</v>
      </c>
    </row>
    <row r="145" spans="4:4" x14ac:dyDescent="0.2">
      <c r="D145" s="103">
        <f ca="1"/>
        <v>5.3</v>
      </c>
    </row>
    <row r="146" spans="4:4" x14ac:dyDescent="0.2">
      <c r="D146" s="103">
        <f ca="1"/>
        <v>5.3280000000000003</v>
      </c>
    </row>
    <row r="147" spans="4:4" x14ac:dyDescent="0.2">
      <c r="D147" s="103">
        <f ca="1"/>
        <v>5.5</v>
      </c>
    </row>
    <row r="148" spans="4:4" x14ac:dyDescent="0.2">
      <c r="D148" s="103">
        <f ca="1"/>
        <v>5.6</v>
      </c>
    </row>
    <row r="149" spans="4:4" x14ac:dyDescent="0.2">
      <c r="D149" s="103">
        <f ca="1"/>
        <v>5.6</v>
      </c>
    </row>
    <row r="150" spans="4:4" x14ac:dyDescent="0.2">
      <c r="D150" s="103">
        <f ca="1"/>
        <v>5.61</v>
      </c>
    </row>
    <row r="151" spans="4:4" x14ac:dyDescent="0.2">
      <c r="D151" s="103">
        <f ca="1"/>
        <v>5.6159999999999997</v>
      </c>
    </row>
    <row r="152" spans="4:4" x14ac:dyDescent="0.2">
      <c r="D152" s="103">
        <f ca="1"/>
        <v>5.6159999999999997</v>
      </c>
    </row>
    <row r="153" spans="4:4" x14ac:dyDescent="0.2">
      <c r="D153" s="103">
        <f ca="1"/>
        <v>5.7</v>
      </c>
    </row>
    <row r="154" spans="4:4" x14ac:dyDescent="0.2">
      <c r="D154" s="103">
        <f ca="1"/>
        <v>5.7023999999999999</v>
      </c>
    </row>
    <row r="155" spans="4:4" x14ac:dyDescent="0.2">
      <c r="D155" s="103">
        <f ca="1"/>
        <v>5.73</v>
      </c>
    </row>
    <row r="156" spans="4:4" x14ac:dyDescent="0.2">
      <c r="D156" s="103">
        <f ca="1"/>
        <v>5.8</v>
      </c>
    </row>
    <row r="157" spans="4:4" x14ac:dyDescent="0.2">
      <c r="D157" s="103">
        <f ca="1"/>
        <v>5.8</v>
      </c>
    </row>
    <row r="158" spans="4:4" x14ac:dyDescent="0.2">
      <c r="D158" s="103">
        <f ca="1"/>
        <v>5.8</v>
      </c>
    </row>
    <row r="159" spans="4:4" x14ac:dyDescent="0.2">
      <c r="D159" s="103">
        <f ca="1"/>
        <v>5.8</v>
      </c>
    </row>
    <row r="160" spans="4:4" x14ac:dyDescent="0.2">
      <c r="D160" s="103">
        <f ca="1"/>
        <v>5.9</v>
      </c>
    </row>
    <row r="161" spans="4:4" x14ac:dyDescent="0.2">
      <c r="D161" s="103">
        <f ca="1"/>
        <v>5.9</v>
      </c>
    </row>
    <row r="162" spans="4:4" x14ac:dyDescent="0.2">
      <c r="D162" s="103">
        <f ca="1"/>
        <v>5.9</v>
      </c>
    </row>
    <row r="163" spans="4:4" x14ac:dyDescent="0.2">
      <c r="D163" s="103">
        <f ca="1"/>
        <v>5.98</v>
      </c>
    </row>
    <row r="164" spans="4:4" x14ac:dyDescent="0.2">
      <c r="D164" s="103">
        <f ca="1"/>
        <v>6</v>
      </c>
    </row>
    <row r="165" spans="4:4" x14ac:dyDescent="0.2">
      <c r="D165" s="103">
        <f ca="1"/>
        <v>6</v>
      </c>
    </row>
    <row r="166" spans="4:4" x14ac:dyDescent="0.2">
      <c r="D166" s="103">
        <f ca="1"/>
        <v>6</v>
      </c>
    </row>
    <row r="167" spans="4:4" x14ac:dyDescent="0.2">
      <c r="D167" s="103">
        <f ca="1"/>
        <v>6</v>
      </c>
    </row>
    <row r="168" spans="4:4" x14ac:dyDescent="0.2">
      <c r="D168" s="103">
        <f ca="1"/>
        <v>6</v>
      </c>
    </row>
    <row r="169" spans="4:4" x14ac:dyDescent="0.2">
      <c r="D169" s="103">
        <f ca="1"/>
        <v>6</v>
      </c>
    </row>
    <row r="170" spans="4:4" x14ac:dyDescent="0.2">
      <c r="D170" s="103">
        <f ca="1"/>
        <v>6</v>
      </c>
    </row>
    <row r="171" spans="4:4" x14ac:dyDescent="0.2">
      <c r="D171" s="103">
        <f ca="1"/>
        <v>6</v>
      </c>
    </row>
    <row r="172" spans="4:4" x14ac:dyDescent="0.2">
      <c r="D172" s="103">
        <f ca="1"/>
        <v>6</v>
      </c>
    </row>
    <row r="173" spans="4:4" x14ac:dyDescent="0.2">
      <c r="D173" s="103">
        <f ca="1"/>
        <v>6.048</v>
      </c>
    </row>
    <row r="174" spans="4:4" x14ac:dyDescent="0.2">
      <c r="D174" s="103">
        <f ca="1"/>
        <v>6.048</v>
      </c>
    </row>
    <row r="175" spans="4:4" x14ac:dyDescent="0.2">
      <c r="D175" s="103">
        <f ca="1"/>
        <v>6.1</v>
      </c>
    </row>
    <row r="176" spans="4:4" x14ac:dyDescent="0.2">
      <c r="D176" s="103">
        <f ca="1"/>
        <v>6.1</v>
      </c>
    </row>
    <row r="177" spans="4:4" x14ac:dyDescent="0.2">
      <c r="D177" s="103">
        <f ca="1"/>
        <v>6.16</v>
      </c>
    </row>
    <row r="178" spans="4:4" x14ac:dyDescent="0.2">
      <c r="D178" s="103">
        <f ca="1"/>
        <v>6.2</v>
      </c>
    </row>
    <row r="179" spans="4:4" x14ac:dyDescent="0.2">
      <c r="D179" s="103">
        <f ca="1"/>
        <v>6.2</v>
      </c>
    </row>
    <row r="180" spans="4:4" x14ac:dyDescent="0.2">
      <c r="D180" s="103">
        <f ca="1"/>
        <v>6.2</v>
      </c>
    </row>
    <row r="181" spans="4:4" x14ac:dyDescent="0.2">
      <c r="D181" s="103">
        <f ca="1"/>
        <v>6.2</v>
      </c>
    </row>
    <row r="182" spans="4:4" x14ac:dyDescent="0.2">
      <c r="D182" s="103">
        <f ca="1"/>
        <v>6.2</v>
      </c>
    </row>
    <row r="183" spans="4:4" x14ac:dyDescent="0.2">
      <c r="D183" s="103">
        <f ca="1"/>
        <v>6.3</v>
      </c>
    </row>
    <row r="184" spans="4:4" x14ac:dyDescent="0.2">
      <c r="D184" s="103">
        <f ca="1"/>
        <v>6.3</v>
      </c>
    </row>
    <row r="185" spans="4:4" x14ac:dyDescent="0.2">
      <c r="D185" s="103">
        <f ca="1"/>
        <v>6.4</v>
      </c>
    </row>
    <row r="186" spans="4:4" x14ac:dyDescent="0.2">
      <c r="D186" s="103">
        <f ca="1"/>
        <v>6.4799999999999995</v>
      </c>
    </row>
    <row r="187" spans="4:4" x14ac:dyDescent="0.2">
      <c r="D187" s="103">
        <f ca="1"/>
        <v>6.5</v>
      </c>
    </row>
    <row r="188" spans="4:4" x14ac:dyDescent="0.2">
      <c r="D188" s="103">
        <f ca="1"/>
        <v>6.5</v>
      </c>
    </row>
    <row r="189" spans="4:4" x14ac:dyDescent="0.2">
      <c r="D189" s="103">
        <f ca="1"/>
        <v>6.6</v>
      </c>
    </row>
    <row r="190" spans="4:4" x14ac:dyDescent="0.2">
      <c r="D190" s="103">
        <f ca="1"/>
        <v>6.7</v>
      </c>
    </row>
    <row r="191" spans="4:4" x14ac:dyDescent="0.2">
      <c r="D191" s="103">
        <f ca="1"/>
        <v>6.7</v>
      </c>
    </row>
    <row r="192" spans="4:4" x14ac:dyDescent="0.2">
      <c r="D192" s="103">
        <f ca="1"/>
        <v>6.75</v>
      </c>
    </row>
    <row r="193" spans="4:4" x14ac:dyDescent="0.2">
      <c r="D193" s="103">
        <f ca="1"/>
        <v>6.8</v>
      </c>
    </row>
    <row r="194" spans="4:4" x14ac:dyDescent="0.2">
      <c r="D194" s="103">
        <f ca="1"/>
        <v>6.8</v>
      </c>
    </row>
    <row r="195" spans="4:4" x14ac:dyDescent="0.2">
      <c r="D195" s="103">
        <f ca="1"/>
        <v>6.9</v>
      </c>
    </row>
    <row r="196" spans="4:4" x14ac:dyDescent="0.2">
      <c r="D196" s="103">
        <f ca="1"/>
        <v>7</v>
      </c>
    </row>
    <row r="197" spans="4:4" x14ac:dyDescent="0.2">
      <c r="D197" s="103">
        <f ca="1"/>
        <v>7</v>
      </c>
    </row>
    <row r="198" spans="4:4" x14ac:dyDescent="0.2">
      <c r="D198" s="103">
        <f ca="1"/>
        <v>7.056</v>
      </c>
    </row>
    <row r="199" spans="4:4" x14ac:dyDescent="0.2">
      <c r="D199" s="103">
        <f ca="1"/>
        <v>7.1</v>
      </c>
    </row>
    <row r="200" spans="4:4" x14ac:dyDescent="0.2">
      <c r="D200" s="103">
        <f ca="1"/>
        <v>7.1</v>
      </c>
    </row>
    <row r="201" spans="4:4" x14ac:dyDescent="0.2">
      <c r="D201" s="103">
        <f ca="1"/>
        <v>7.1</v>
      </c>
    </row>
    <row r="202" spans="4:4" x14ac:dyDescent="0.2">
      <c r="D202" s="103">
        <f ca="1"/>
        <v>7.1</v>
      </c>
    </row>
    <row r="203" spans="4:4" x14ac:dyDescent="0.2">
      <c r="D203" s="103">
        <f ca="1"/>
        <v>7.1</v>
      </c>
    </row>
    <row r="204" spans="4:4" x14ac:dyDescent="0.2">
      <c r="D204" s="103">
        <f ca="1"/>
        <v>7.1</v>
      </c>
    </row>
    <row r="205" spans="4:4" x14ac:dyDescent="0.2">
      <c r="D205" s="103">
        <f ca="1"/>
        <v>7.1999999999999993</v>
      </c>
    </row>
    <row r="206" spans="4:4" x14ac:dyDescent="0.2">
      <c r="D206" s="103">
        <f ca="1"/>
        <v>7.1999999999999993</v>
      </c>
    </row>
    <row r="207" spans="4:4" x14ac:dyDescent="0.2">
      <c r="D207" s="103">
        <f ca="1"/>
        <v>7.2</v>
      </c>
    </row>
    <row r="208" spans="4:4" x14ac:dyDescent="0.2">
      <c r="D208" s="103">
        <f ca="1"/>
        <v>7.3</v>
      </c>
    </row>
    <row r="209" spans="4:4" x14ac:dyDescent="0.2">
      <c r="D209" s="103">
        <f ca="1"/>
        <v>7.3</v>
      </c>
    </row>
    <row r="210" spans="4:4" x14ac:dyDescent="0.2">
      <c r="D210" s="103">
        <f ca="1"/>
        <v>7.3</v>
      </c>
    </row>
    <row r="211" spans="4:4" x14ac:dyDescent="0.2">
      <c r="D211" s="103">
        <f ca="1"/>
        <v>7.3439999999999994</v>
      </c>
    </row>
    <row r="212" spans="4:4" x14ac:dyDescent="0.2">
      <c r="D212" s="103">
        <f ca="1"/>
        <v>7.4</v>
      </c>
    </row>
    <row r="213" spans="4:4" x14ac:dyDescent="0.2">
      <c r="D213" s="103">
        <f ca="1"/>
        <v>7.4879999999999995</v>
      </c>
    </row>
    <row r="214" spans="4:4" x14ac:dyDescent="0.2">
      <c r="D214" s="103">
        <f ca="1"/>
        <v>7.5</v>
      </c>
    </row>
    <row r="215" spans="4:4" x14ac:dyDescent="0.2">
      <c r="D215" s="103">
        <f ca="1"/>
        <v>7.5</v>
      </c>
    </row>
    <row r="216" spans="4:4" x14ac:dyDescent="0.2">
      <c r="D216" s="103">
        <f ca="1"/>
        <v>7.6</v>
      </c>
    </row>
    <row r="217" spans="4:4" x14ac:dyDescent="0.2">
      <c r="D217" s="103">
        <f ca="1"/>
        <v>7.6</v>
      </c>
    </row>
    <row r="218" spans="4:4" x14ac:dyDescent="0.2">
      <c r="D218" s="103">
        <f ca="1"/>
        <v>7.6</v>
      </c>
    </row>
    <row r="219" spans="4:4" x14ac:dyDescent="0.2">
      <c r="D219" s="103">
        <f ca="1"/>
        <v>7.6319999999999997</v>
      </c>
    </row>
    <row r="220" spans="4:4" x14ac:dyDescent="0.2">
      <c r="D220" s="103">
        <f ca="1"/>
        <v>7.6319999999999997</v>
      </c>
    </row>
    <row r="221" spans="4:4" x14ac:dyDescent="0.2">
      <c r="D221" s="103">
        <f ca="1"/>
        <v>7.7</v>
      </c>
    </row>
    <row r="222" spans="4:4" x14ac:dyDescent="0.2">
      <c r="D222" s="103">
        <f ca="1"/>
        <v>7.7</v>
      </c>
    </row>
    <row r="223" spans="4:4" x14ac:dyDescent="0.2">
      <c r="D223" s="103">
        <f ca="1"/>
        <v>7.7</v>
      </c>
    </row>
    <row r="224" spans="4:4" x14ac:dyDescent="0.2">
      <c r="D224" s="103">
        <f ca="1"/>
        <v>7.7759999999999998</v>
      </c>
    </row>
    <row r="225" spans="4:4" x14ac:dyDescent="0.2">
      <c r="D225" s="103">
        <f ca="1"/>
        <v>7.7759999999999998</v>
      </c>
    </row>
    <row r="226" spans="4:4" x14ac:dyDescent="0.2">
      <c r="D226" s="103">
        <f ca="1"/>
        <v>7.9</v>
      </c>
    </row>
    <row r="227" spans="4:4" x14ac:dyDescent="0.2">
      <c r="D227" s="103">
        <f ca="1"/>
        <v>7.9</v>
      </c>
    </row>
    <row r="228" spans="4:4" x14ac:dyDescent="0.2">
      <c r="D228" s="103">
        <f ca="1"/>
        <v>7.92</v>
      </c>
    </row>
    <row r="229" spans="4:4" x14ac:dyDescent="0.2">
      <c r="D229" s="103">
        <f ca="1"/>
        <v>7.92</v>
      </c>
    </row>
    <row r="230" spans="4:4" x14ac:dyDescent="0.2">
      <c r="D230" s="103">
        <f ca="1"/>
        <v>8</v>
      </c>
    </row>
    <row r="231" spans="4:4" x14ac:dyDescent="0.2">
      <c r="D231" s="103">
        <f ca="1"/>
        <v>8</v>
      </c>
    </row>
    <row r="232" spans="4:4" x14ac:dyDescent="0.2">
      <c r="D232" s="103">
        <f ca="1"/>
        <v>8</v>
      </c>
    </row>
    <row r="233" spans="4:4" x14ac:dyDescent="0.2">
      <c r="D233" s="103">
        <f ca="1"/>
        <v>8</v>
      </c>
    </row>
    <row r="234" spans="4:4" x14ac:dyDescent="0.2">
      <c r="D234" s="103">
        <f ca="1"/>
        <v>8</v>
      </c>
    </row>
    <row r="235" spans="4:4" x14ac:dyDescent="0.2">
      <c r="D235" s="103">
        <f ca="1"/>
        <v>8</v>
      </c>
    </row>
    <row r="236" spans="4:4" x14ac:dyDescent="0.2">
      <c r="D236" s="103">
        <f ca="1"/>
        <v>8.0640000000000001</v>
      </c>
    </row>
    <row r="237" spans="4:4" x14ac:dyDescent="0.2">
      <c r="D237" s="103">
        <f ca="1"/>
        <v>8.1</v>
      </c>
    </row>
    <row r="238" spans="4:4" x14ac:dyDescent="0.2">
      <c r="D238" s="103">
        <f ca="1"/>
        <v>8.3000000000000007</v>
      </c>
    </row>
    <row r="239" spans="4:4" x14ac:dyDescent="0.2">
      <c r="D239" s="103">
        <f ca="1"/>
        <v>8.3000000000000007</v>
      </c>
    </row>
    <row r="240" spans="4:4" x14ac:dyDescent="0.2">
      <c r="D240" s="103">
        <f ca="1"/>
        <v>8.3000000000000007</v>
      </c>
    </row>
    <row r="241" spans="4:4" x14ac:dyDescent="0.2">
      <c r="D241" s="103">
        <f ca="1"/>
        <v>8.3520000000000003</v>
      </c>
    </row>
    <row r="242" spans="4:4" x14ac:dyDescent="0.2">
      <c r="D242" s="103">
        <f ca="1"/>
        <v>8.4</v>
      </c>
    </row>
    <row r="243" spans="4:4" x14ac:dyDescent="0.2">
      <c r="D243" s="103">
        <f ca="1"/>
        <v>8.48</v>
      </c>
    </row>
    <row r="244" spans="4:4" x14ac:dyDescent="0.2">
      <c r="D244" s="103">
        <f ca="1"/>
        <v>8.52</v>
      </c>
    </row>
    <row r="245" spans="4:4" x14ac:dyDescent="0.2">
      <c r="D245" s="103">
        <f ca="1"/>
        <v>8.6999999999999993</v>
      </c>
    </row>
    <row r="246" spans="4:4" x14ac:dyDescent="0.2">
      <c r="D246" s="103">
        <f ca="1"/>
        <v>8.6999999999999993</v>
      </c>
    </row>
    <row r="247" spans="4:4" x14ac:dyDescent="0.2">
      <c r="D247" s="103">
        <f ca="1"/>
        <v>8.927999999999999</v>
      </c>
    </row>
    <row r="248" spans="4:4" x14ac:dyDescent="0.2">
      <c r="D248" s="103">
        <f ca="1"/>
        <v>9</v>
      </c>
    </row>
    <row r="249" spans="4:4" x14ac:dyDescent="0.2">
      <c r="D249" s="103">
        <f ca="1"/>
        <v>9.1</v>
      </c>
    </row>
    <row r="250" spans="4:4" x14ac:dyDescent="0.2">
      <c r="D250" s="103">
        <f ca="1"/>
        <v>9.1</v>
      </c>
    </row>
    <row r="251" spans="4:4" x14ac:dyDescent="0.2">
      <c r="D251" s="103">
        <f ca="1"/>
        <v>9.1999999999999993</v>
      </c>
    </row>
    <row r="252" spans="4:4" x14ac:dyDescent="0.2">
      <c r="D252" s="103">
        <f ca="1"/>
        <v>9.1999999999999993</v>
      </c>
    </row>
    <row r="253" spans="4:4" x14ac:dyDescent="0.2">
      <c r="D253" s="103">
        <f ca="1"/>
        <v>9.2159999999999993</v>
      </c>
    </row>
    <row r="254" spans="4:4" x14ac:dyDescent="0.2">
      <c r="D254" s="103">
        <f ca="1"/>
        <v>9.2159999999999993</v>
      </c>
    </row>
    <row r="255" spans="4:4" x14ac:dyDescent="0.2">
      <c r="D255" s="103">
        <f ca="1"/>
        <v>9.3000000000000007</v>
      </c>
    </row>
    <row r="256" spans="4:4" x14ac:dyDescent="0.2">
      <c r="D256" s="103">
        <f ca="1"/>
        <v>9.3000000000000007</v>
      </c>
    </row>
    <row r="257" spans="4:4" x14ac:dyDescent="0.2">
      <c r="D257" s="103">
        <f ca="1"/>
        <v>9.3000000000000007</v>
      </c>
    </row>
    <row r="258" spans="4:4" x14ac:dyDescent="0.2">
      <c r="D258" s="103">
        <f ca="1"/>
        <v>9.3000000000000007</v>
      </c>
    </row>
    <row r="259" spans="4:4" x14ac:dyDescent="0.2">
      <c r="D259" s="103">
        <f ca="1"/>
        <v>9.3000000000000007</v>
      </c>
    </row>
    <row r="260" spans="4:4" x14ac:dyDescent="0.2">
      <c r="D260" s="103">
        <f ca="1"/>
        <v>9.4</v>
      </c>
    </row>
    <row r="261" spans="4:4" x14ac:dyDescent="0.2">
      <c r="D261" s="103">
        <f ca="1"/>
        <v>9.5</v>
      </c>
    </row>
    <row r="262" spans="4:4" x14ac:dyDescent="0.2">
      <c r="D262" s="103">
        <f ca="1"/>
        <v>9.5</v>
      </c>
    </row>
    <row r="263" spans="4:4" x14ac:dyDescent="0.2">
      <c r="D263" s="103">
        <f ca="1"/>
        <v>9.5039999999999996</v>
      </c>
    </row>
    <row r="264" spans="4:4" x14ac:dyDescent="0.2">
      <c r="D264" s="103">
        <f ca="1"/>
        <v>9.6</v>
      </c>
    </row>
    <row r="265" spans="4:4" x14ac:dyDescent="0.2">
      <c r="D265" s="103">
        <f ca="1"/>
        <v>9.6</v>
      </c>
    </row>
    <row r="266" spans="4:4" x14ac:dyDescent="0.2">
      <c r="D266" s="103">
        <f ca="1"/>
        <v>9.6479999999999997</v>
      </c>
    </row>
    <row r="267" spans="4:4" x14ac:dyDescent="0.2">
      <c r="D267" s="103">
        <f ca="1"/>
        <v>9.6479999999999997</v>
      </c>
    </row>
    <row r="268" spans="4:4" x14ac:dyDescent="0.2">
      <c r="D268" s="103">
        <f ca="1"/>
        <v>9.7919999999999998</v>
      </c>
    </row>
    <row r="269" spans="4:4" x14ac:dyDescent="0.2">
      <c r="D269" s="103">
        <f ca="1"/>
        <v>9.8000000000000007</v>
      </c>
    </row>
    <row r="270" spans="4:4" x14ac:dyDescent="0.2">
      <c r="D270" s="103">
        <f ca="1"/>
        <v>9.8000000000000007</v>
      </c>
    </row>
    <row r="271" spans="4:4" x14ac:dyDescent="0.2">
      <c r="D271" s="103">
        <f ca="1"/>
        <v>9.8000000000000007</v>
      </c>
    </row>
    <row r="272" spans="4:4" x14ac:dyDescent="0.2">
      <c r="D272" s="103">
        <f ca="1"/>
        <v>9.8000000000000007</v>
      </c>
    </row>
    <row r="273" spans="4:4" x14ac:dyDescent="0.2">
      <c r="D273" s="103">
        <f ca="1"/>
        <v>9.8000000000000007</v>
      </c>
    </row>
    <row r="274" spans="4:4" x14ac:dyDescent="0.2">
      <c r="D274" s="103">
        <f ca="1"/>
        <v>9.9</v>
      </c>
    </row>
    <row r="275" spans="4:4" x14ac:dyDescent="0.2">
      <c r="D275" s="103">
        <f ca="1"/>
        <v>9.9</v>
      </c>
    </row>
    <row r="276" spans="4:4" x14ac:dyDescent="0.2">
      <c r="D276" s="103">
        <f ca="1"/>
        <v>9.9</v>
      </c>
    </row>
    <row r="277" spans="4:4" x14ac:dyDescent="0.2">
      <c r="D277" s="103">
        <f ca="1"/>
        <v>9.9359999999999999</v>
      </c>
    </row>
    <row r="278" spans="4:4" x14ac:dyDescent="0.2">
      <c r="D278" s="103">
        <f ca="1"/>
        <v>10</v>
      </c>
    </row>
    <row r="279" spans="4:4" x14ac:dyDescent="0.2">
      <c r="D279" s="103">
        <f ca="1"/>
        <v>10</v>
      </c>
    </row>
    <row r="280" spans="4:4" x14ac:dyDescent="0.2">
      <c r="D280" s="103">
        <f ca="1"/>
        <v>10</v>
      </c>
    </row>
    <row r="281" spans="4:4" x14ac:dyDescent="0.2">
      <c r="D281" s="103">
        <f ca="1"/>
        <v>10</v>
      </c>
    </row>
    <row r="282" spans="4:4" x14ac:dyDescent="0.2">
      <c r="D282" s="103">
        <f ca="1"/>
        <v>10</v>
      </c>
    </row>
    <row r="283" spans="4:4" x14ac:dyDescent="0.2">
      <c r="D283" s="103">
        <f ca="1"/>
        <v>10</v>
      </c>
    </row>
    <row r="284" spans="4:4" x14ac:dyDescent="0.2">
      <c r="D284" s="103">
        <f ca="1"/>
        <v>10</v>
      </c>
    </row>
    <row r="285" spans="4:4" x14ac:dyDescent="0.2">
      <c r="D285" s="103">
        <f ca="1"/>
        <v>10</v>
      </c>
    </row>
    <row r="286" spans="4:4" x14ac:dyDescent="0.2">
      <c r="D286" s="103">
        <f ca="1"/>
        <v>10</v>
      </c>
    </row>
    <row r="287" spans="4:4" x14ac:dyDescent="0.2">
      <c r="D287" s="103">
        <f ca="1"/>
        <v>10</v>
      </c>
    </row>
    <row r="288" spans="4:4" x14ac:dyDescent="0.2">
      <c r="D288" s="103">
        <f ca="1"/>
        <v>10</v>
      </c>
    </row>
    <row r="289" spans="4:4" x14ac:dyDescent="0.2">
      <c r="D289" s="103">
        <f ca="1"/>
        <v>10</v>
      </c>
    </row>
    <row r="290" spans="4:4" x14ac:dyDescent="0.2">
      <c r="D290" s="103">
        <f ca="1"/>
        <v>10</v>
      </c>
    </row>
    <row r="291" spans="4:4" x14ac:dyDescent="0.2">
      <c r="D291" s="103">
        <f ca="1"/>
        <v>10</v>
      </c>
    </row>
    <row r="292" spans="4:4" x14ac:dyDescent="0.2">
      <c r="D292" s="103">
        <f ca="1"/>
        <v>10</v>
      </c>
    </row>
    <row r="293" spans="4:4" x14ac:dyDescent="0.2">
      <c r="D293" s="103">
        <f ca="1"/>
        <v>10</v>
      </c>
    </row>
    <row r="294" spans="4:4" x14ac:dyDescent="0.2">
      <c r="D294" s="103">
        <f ca="1"/>
        <v>10</v>
      </c>
    </row>
    <row r="295" spans="4:4" x14ac:dyDescent="0.2">
      <c r="D295" s="103">
        <f ca="1"/>
        <v>10</v>
      </c>
    </row>
    <row r="296" spans="4:4" x14ac:dyDescent="0.2">
      <c r="D296" s="103">
        <f ca="1"/>
        <v>10</v>
      </c>
    </row>
    <row r="297" spans="4:4" x14ac:dyDescent="0.2">
      <c r="D297" s="103">
        <f ca="1"/>
        <v>10</v>
      </c>
    </row>
    <row r="298" spans="4:4" x14ac:dyDescent="0.2">
      <c r="D298" s="103">
        <f ca="1"/>
        <v>10</v>
      </c>
    </row>
    <row r="299" spans="4:4" x14ac:dyDescent="0.2">
      <c r="D299" s="103">
        <f ca="1"/>
        <v>10</v>
      </c>
    </row>
    <row r="300" spans="4:4" x14ac:dyDescent="0.2">
      <c r="D300" s="103">
        <f ca="1"/>
        <v>10</v>
      </c>
    </row>
    <row r="301" spans="4:4" x14ac:dyDescent="0.2">
      <c r="D301" s="103">
        <f ca="1"/>
        <v>10</v>
      </c>
    </row>
    <row r="302" spans="4:4" x14ac:dyDescent="0.2">
      <c r="D302" s="103">
        <f ca="1"/>
        <v>10</v>
      </c>
    </row>
    <row r="303" spans="4:4" x14ac:dyDescent="0.2">
      <c r="D303" s="103">
        <f ca="1"/>
        <v>10</v>
      </c>
    </row>
    <row r="304" spans="4:4" x14ac:dyDescent="0.2">
      <c r="D304" s="103">
        <f ca="1"/>
        <v>10.368</v>
      </c>
    </row>
    <row r="305" spans="4:4" x14ac:dyDescent="0.2">
      <c r="D305" s="103">
        <f ca="1"/>
        <v>10.4</v>
      </c>
    </row>
    <row r="306" spans="4:4" x14ac:dyDescent="0.2">
      <c r="D306" s="103">
        <f ca="1"/>
        <v>10.5</v>
      </c>
    </row>
    <row r="307" spans="4:4" x14ac:dyDescent="0.2">
      <c r="D307" s="103">
        <f ca="1"/>
        <v>10.6</v>
      </c>
    </row>
    <row r="308" spans="4:4" x14ac:dyDescent="0.2">
      <c r="D308" s="103">
        <f ca="1"/>
        <v>10.7</v>
      </c>
    </row>
    <row r="309" spans="4:4" x14ac:dyDescent="0.2">
      <c r="D309" s="103">
        <f ca="1"/>
        <v>10.7</v>
      </c>
    </row>
    <row r="310" spans="4:4" x14ac:dyDescent="0.2">
      <c r="D310" s="103">
        <f ca="1"/>
        <v>10.799999999999999</v>
      </c>
    </row>
    <row r="311" spans="4:4" x14ac:dyDescent="0.2">
      <c r="D311" s="103">
        <f ca="1"/>
        <v>10.9</v>
      </c>
    </row>
    <row r="312" spans="4:4" x14ac:dyDescent="0.2">
      <c r="D312" s="103">
        <f ca="1"/>
        <v>11</v>
      </c>
    </row>
    <row r="313" spans="4:4" x14ac:dyDescent="0.2">
      <c r="D313" s="103">
        <f ca="1"/>
        <v>11</v>
      </c>
    </row>
    <row r="314" spans="4:4" x14ac:dyDescent="0.2">
      <c r="D314" s="103">
        <f ca="1"/>
        <v>11</v>
      </c>
    </row>
    <row r="315" spans="4:4" x14ac:dyDescent="0.2">
      <c r="D315" s="103">
        <f ca="1"/>
        <v>11</v>
      </c>
    </row>
    <row r="316" spans="4:4" x14ac:dyDescent="0.2">
      <c r="D316" s="103">
        <f ca="1"/>
        <v>11</v>
      </c>
    </row>
    <row r="317" spans="4:4" x14ac:dyDescent="0.2">
      <c r="D317" s="103">
        <f ca="1"/>
        <v>11</v>
      </c>
    </row>
    <row r="318" spans="4:4" x14ac:dyDescent="0.2">
      <c r="D318" s="103">
        <f ca="1"/>
        <v>11</v>
      </c>
    </row>
    <row r="319" spans="4:4" x14ac:dyDescent="0.2">
      <c r="D319" s="103">
        <f ca="1"/>
        <v>11</v>
      </c>
    </row>
    <row r="320" spans="4:4" x14ac:dyDescent="0.2">
      <c r="D320" s="103">
        <f ca="1"/>
        <v>11</v>
      </c>
    </row>
    <row r="321" spans="4:4" x14ac:dyDescent="0.2">
      <c r="D321" s="103">
        <f ca="1"/>
        <v>11</v>
      </c>
    </row>
    <row r="322" spans="4:4" x14ac:dyDescent="0.2">
      <c r="D322" s="103">
        <f ca="1"/>
        <v>11</v>
      </c>
    </row>
    <row r="323" spans="4:4" x14ac:dyDescent="0.2">
      <c r="D323" s="103">
        <f ca="1"/>
        <v>11</v>
      </c>
    </row>
    <row r="324" spans="4:4" x14ac:dyDescent="0.2">
      <c r="D324" s="103">
        <f ca="1"/>
        <v>11</v>
      </c>
    </row>
    <row r="325" spans="4:4" x14ac:dyDescent="0.2">
      <c r="D325" s="103">
        <f ca="1"/>
        <v>11.087999999999999</v>
      </c>
    </row>
    <row r="326" spans="4:4" x14ac:dyDescent="0.2">
      <c r="D326" s="103">
        <f ca="1"/>
        <v>11.2</v>
      </c>
    </row>
    <row r="327" spans="4:4" x14ac:dyDescent="0.2">
      <c r="D327" s="103">
        <f ca="1"/>
        <v>11.375999999999999</v>
      </c>
    </row>
    <row r="328" spans="4:4" x14ac:dyDescent="0.2">
      <c r="D328" s="103">
        <f ca="1"/>
        <v>11.375999999999999</v>
      </c>
    </row>
    <row r="329" spans="4:4" x14ac:dyDescent="0.2">
      <c r="D329" s="103">
        <f ca="1"/>
        <v>11.38</v>
      </c>
    </row>
    <row r="330" spans="4:4" x14ac:dyDescent="0.2">
      <c r="D330" s="103">
        <f ca="1"/>
        <v>11.4</v>
      </c>
    </row>
    <row r="331" spans="4:4" x14ac:dyDescent="0.2">
      <c r="D331" s="103">
        <f ca="1"/>
        <v>11.500999999999999</v>
      </c>
    </row>
    <row r="332" spans="4:4" x14ac:dyDescent="0.2">
      <c r="D332" s="103">
        <f ca="1"/>
        <v>11.6</v>
      </c>
    </row>
    <row r="333" spans="4:4" x14ac:dyDescent="0.2">
      <c r="D333" s="103">
        <f ca="1"/>
        <v>11.664</v>
      </c>
    </row>
    <row r="334" spans="4:4" x14ac:dyDescent="0.2">
      <c r="D334" s="103">
        <f ca="1"/>
        <v>11.7</v>
      </c>
    </row>
    <row r="335" spans="4:4" x14ac:dyDescent="0.2">
      <c r="D335" s="103">
        <f ca="1"/>
        <v>11.9</v>
      </c>
    </row>
    <row r="336" spans="4:4" x14ac:dyDescent="0.2">
      <c r="D336" s="103">
        <f ca="1"/>
        <v>12</v>
      </c>
    </row>
    <row r="337" spans="4:4" x14ac:dyDescent="0.2">
      <c r="D337" s="103">
        <f ca="1"/>
        <v>12</v>
      </c>
    </row>
    <row r="338" spans="4:4" x14ac:dyDescent="0.2">
      <c r="D338" s="103">
        <f ca="1"/>
        <v>12</v>
      </c>
    </row>
    <row r="339" spans="4:4" x14ac:dyDescent="0.2">
      <c r="D339" s="103">
        <f ca="1"/>
        <v>12</v>
      </c>
    </row>
    <row r="340" spans="4:4" x14ac:dyDescent="0.2">
      <c r="D340" s="103">
        <f ca="1"/>
        <v>12</v>
      </c>
    </row>
    <row r="341" spans="4:4" x14ac:dyDescent="0.2">
      <c r="D341" s="103">
        <f ca="1"/>
        <v>12</v>
      </c>
    </row>
    <row r="342" spans="4:4" x14ac:dyDescent="0.2">
      <c r="D342" s="103">
        <f ca="1"/>
        <v>12</v>
      </c>
    </row>
    <row r="343" spans="4:4" x14ac:dyDescent="0.2">
      <c r="D343" s="103">
        <f ca="1"/>
        <v>12</v>
      </c>
    </row>
    <row r="344" spans="4:4" x14ac:dyDescent="0.2">
      <c r="D344" s="103">
        <f ca="1"/>
        <v>12</v>
      </c>
    </row>
    <row r="345" spans="4:4" x14ac:dyDescent="0.2">
      <c r="D345" s="103">
        <f ca="1"/>
        <v>12</v>
      </c>
    </row>
    <row r="346" spans="4:4" x14ac:dyDescent="0.2">
      <c r="D346" s="103">
        <f ca="1"/>
        <v>12</v>
      </c>
    </row>
    <row r="347" spans="4:4" x14ac:dyDescent="0.2">
      <c r="D347" s="103">
        <f ca="1"/>
        <v>12</v>
      </c>
    </row>
    <row r="348" spans="4:4" x14ac:dyDescent="0.2">
      <c r="D348" s="103">
        <f ca="1"/>
        <v>12</v>
      </c>
    </row>
    <row r="349" spans="4:4" x14ac:dyDescent="0.2">
      <c r="D349" s="103">
        <f ca="1"/>
        <v>12</v>
      </c>
    </row>
    <row r="350" spans="4:4" x14ac:dyDescent="0.2">
      <c r="D350" s="103">
        <f ca="1"/>
        <v>12</v>
      </c>
    </row>
    <row r="351" spans="4:4" x14ac:dyDescent="0.2">
      <c r="D351" s="103">
        <f ca="1"/>
        <v>12</v>
      </c>
    </row>
    <row r="352" spans="4:4" x14ac:dyDescent="0.2">
      <c r="D352" s="103">
        <f ca="1"/>
        <v>12.1</v>
      </c>
    </row>
    <row r="353" spans="4:4" x14ac:dyDescent="0.2">
      <c r="D353" s="103">
        <f ca="1"/>
        <v>12.24</v>
      </c>
    </row>
    <row r="354" spans="4:4" x14ac:dyDescent="0.2">
      <c r="D354" s="103">
        <f ca="1"/>
        <v>12.383999999999999</v>
      </c>
    </row>
    <row r="355" spans="4:4" x14ac:dyDescent="0.2">
      <c r="D355" s="103">
        <f ca="1"/>
        <v>12.383999999999999</v>
      </c>
    </row>
    <row r="356" spans="4:4" x14ac:dyDescent="0.2">
      <c r="D356" s="103">
        <f ca="1"/>
        <v>12.383999999999999</v>
      </c>
    </row>
    <row r="357" spans="4:4" x14ac:dyDescent="0.2">
      <c r="D357" s="103">
        <f ca="1"/>
        <v>12.5</v>
      </c>
    </row>
    <row r="358" spans="4:4" x14ac:dyDescent="0.2">
      <c r="D358" s="103">
        <f ca="1"/>
        <v>12.5</v>
      </c>
    </row>
    <row r="359" spans="4:4" x14ac:dyDescent="0.2">
      <c r="D359" s="103">
        <f ca="1"/>
        <v>12.672000000000001</v>
      </c>
    </row>
    <row r="360" spans="4:4" x14ac:dyDescent="0.2">
      <c r="D360" s="103">
        <f ca="1"/>
        <v>13</v>
      </c>
    </row>
    <row r="361" spans="4:4" x14ac:dyDescent="0.2">
      <c r="D361" s="103">
        <f ca="1"/>
        <v>13</v>
      </c>
    </row>
    <row r="362" spans="4:4" x14ac:dyDescent="0.2">
      <c r="D362" s="103">
        <f ca="1"/>
        <v>13</v>
      </c>
    </row>
    <row r="363" spans="4:4" x14ac:dyDescent="0.2">
      <c r="D363" s="103">
        <f ca="1"/>
        <v>13</v>
      </c>
    </row>
    <row r="364" spans="4:4" x14ac:dyDescent="0.2">
      <c r="D364" s="103">
        <f ca="1"/>
        <v>13.103999999999999</v>
      </c>
    </row>
    <row r="365" spans="4:4" x14ac:dyDescent="0.2">
      <c r="D365" s="103">
        <f ca="1"/>
        <v>13.103999999999999</v>
      </c>
    </row>
    <row r="366" spans="4:4" x14ac:dyDescent="0.2">
      <c r="D366" s="103">
        <f ca="1"/>
        <v>13.103999999999999</v>
      </c>
    </row>
    <row r="367" spans="4:4" x14ac:dyDescent="0.2">
      <c r="D367" s="103">
        <f ca="1"/>
        <v>13.536</v>
      </c>
    </row>
    <row r="368" spans="4:4" x14ac:dyDescent="0.2">
      <c r="D368" s="103">
        <f ca="1"/>
        <v>13.536</v>
      </c>
    </row>
    <row r="369" spans="4:4" x14ac:dyDescent="0.2">
      <c r="D369" s="103">
        <f ca="1"/>
        <v>13.967999999999998</v>
      </c>
    </row>
    <row r="370" spans="4:4" x14ac:dyDescent="0.2">
      <c r="D370" s="103">
        <f ca="1"/>
        <v>14</v>
      </c>
    </row>
    <row r="371" spans="4:4" x14ac:dyDescent="0.2">
      <c r="D371" s="103">
        <f ca="1"/>
        <v>14</v>
      </c>
    </row>
    <row r="372" spans="4:4" x14ac:dyDescent="0.2">
      <c r="D372" s="103">
        <f ca="1"/>
        <v>14</v>
      </c>
    </row>
    <row r="373" spans="4:4" x14ac:dyDescent="0.2">
      <c r="D373" s="103">
        <f ca="1"/>
        <v>14</v>
      </c>
    </row>
    <row r="374" spans="4:4" x14ac:dyDescent="0.2">
      <c r="D374" s="103">
        <f ca="1"/>
        <v>14</v>
      </c>
    </row>
    <row r="375" spans="4:4" x14ac:dyDescent="0.2">
      <c r="D375" s="103">
        <f ca="1"/>
        <v>14</v>
      </c>
    </row>
    <row r="376" spans="4:4" x14ac:dyDescent="0.2">
      <c r="D376" s="103">
        <f ca="1"/>
        <v>14</v>
      </c>
    </row>
    <row r="377" spans="4:4" x14ac:dyDescent="0.2">
      <c r="D377" s="103">
        <f ca="1"/>
        <v>14</v>
      </c>
    </row>
    <row r="378" spans="4:4" x14ac:dyDescent="0.2">
      <c r="D378" s="103">
        <f ca="1"/>
        <v>14</v>
      </c>
    </row>
    <row r="379" spans="4:4" x14ac:dyDescent="0.2">
      <c r="D379" s="103">
        <f ca="1"/>
        <v>14</v>
      </c>
    </row>
    <row r="380" spans="4:4" x14ac:dyDescent="0.2">
      <c r="D380" s="103">
        <f ca="1"/>
        <v>14</v>
      </c>
    </row>
    <row r="381" spans="4:4" x14ac:dyDescent="0.2">
      <c r="D381" s="103">
        <f ca="1"/>
        <v>14</v>
      </c>
    </row>
    <row r="382" spans="4:4" x14ac:dyDescent="0.2">
      <c r="D382" s="103">
        <f ca="1"/>
        <v>14</v>
      </c>
    </row>
    <row r="383" spans="4:4" x14ac:dyDescent="0.2">
      <c r="D383" s="103">
        <f ca="1"/>
        <v>14</v>
      </c>
    </row>
    <row r="384" spans="4:4" x14ac:dyDescent="0.2">
      <c r="D384" s="103">
        <f ca="1"/>
        <v>14</v>
      </c>
    </row>
    <row r="385" spans="4:4" x14ac:dyDescent="0.2">
      <c r="D385" s="103">
        <f ca="1"/>
        <v>14</v>
      </c>
    </row>
    <row r="386" spans="4:4" x14ac:dyDescent="0.2">
      <c r="D386" s="103">
        <f ca="1"/>
        <v>14</v>
      </c>
    </row>
    <row r="387" spans="4:4" x14ac:dyDescent="0.2">
      <c r="D387" s="103">
        <f ca="1"/>
        <v>14.256</v>
      </c>
    </row>
    <row r="388" spans="4:4" x14ac:dyDescent="0.2">
      <c r="D388" s="103">
        <f ca="1"/>
        <v>14.3</v>
      </c>
    </row>
    <row r="389" spans="4:4" x14ac:dyDescent="0.2">
      <c r="D389" s="103">
        <f ca="1"/>
        <v>14.399999999999999</v>
      </c>
    </row>
    <row r="390" spans="4:4" x14ac:dyDescent="0.2">
      <c r="D390" s="103">
        <f ca="1"/>
        <v>14.399999999999999</v>
      </c>
    </row>
    <row r="391" spans="4:4" x14ac:dyDescent="0.2">
      <c r="D391" s="103">
        <f ca="1"/>
        <v>14.399999999999999</v>
      </c>
    </row>
    <row r="392" spans="4:4" x14ac:dyDescent="0.2">
      <c r="D392" s="103">
        <f ca="1"/>
        <v>14.399999999999999</v>
      </c>
    </row>
    <row r="393" spans="4:4" x14ac:dyDescent="0.2">
      <c r="D393" s="103">
        <f ca="1"/>
        <v>14.399999999999999</v>
      </c>
    </row>
    <row r="394" spans="4:4" x14ac:dyDescent="0.2">
      <c r="D394" s="103">
        <f ca="1"/>
        <v>14.6</v>
      </c>
    </row>
    <row r="395" spans="4:4" x14ac:dyDescent="0.2">
      <c r="D395" s="103">
        <f ca="1"/>
        <v>14.8</v>
      </c>
    </row>
    <row r="396" spans="4:4" x14ac:dyDescent="0.2">
      <c r="D396" s="103">
        <f ca="1"/>
        <v>14.8</v>
      </c>
    </row>
    <row r="397" spans="4:4" x14ac:dyDescent="0.2">
      <c r="D397" s="103">
        <f ca="1"/>
        <v>14.975999999999999</v>
      </c>
    </row>
    <row r="398" spans="4:4" x14ac:dyDescent="0.2">
      <c r="D398" s="103">
        <f ca="1"/>
        <v>15</v>
      </c>
    </row>
    <row r="399" spans="4:4" x14ac:dyDescent="0.2">
      <c r="D399" s="103">
        <f ca="1"/>
        <v>15</v>
      </c>
    </row>
    <row r="400" spans="4:4" x14ac:dyDescent="0.2">
      <c r="D400" s="103">
        <f ca="1"/>
        <v>15</v>
      </c>
    </row>
    <row r="401" spans="4:4" x14ac:dyDescent="0.2">
      <c r="D401" s="103">
        <f ca="1"/>
        <v>15</v>
      </c>
    </row>
    <row r="402" spans="4:4" x14ac:dyDescent="0.2">
      <c r="D402" s="103">
        <f ca="1"/>
        <v>15</v>
      </c>
    </row>
    <row r="403" spans="4:4" x14ac:dyDescent="0.2">
      <c r="D403" s="103">
        <f ca="1"/>
        <v>15</v>
      </c>
    </row>
    <row r="404" spans="4:4" x14ac:dyDescent="0.2">
      <c r="D404" s="103">
        <f ca="1"/>
        <v>15</v>
      </c>
    </row>
    <row r="405" spans="4:4" x14ac:dyDescent="0.2">
      <c r="D405" s="103">
        <f ca="1"/>
        <v>15</v>
      </c>
    </row>
    <row r="406" spans="4:4" x14ac:dyDescent="0.2">
      <c r="D406" s="103">
        <f ca="1"/>
        <v>15</v>
      </c>
    </row>
    <row r="407" spans="4:4" x14ac:dyDescent="0.2">
      <c r="D407" s="103">
        <f ca="1"/>
        <v>15</v>
      </c>
    </row>
    <row r="408" spans="4:4" x14ac:dyDescent="0.2">
      <c r="D408" s="103">
        <f ca="1"/>
        <v>15</v>
      </c>
    </row>
    <row r="409" spans="4:4" x14ac:dyDescent="0.2">
      <c r="D409" s="103">
        <f ca="1"/>
        <v>15.5</v>
      </c>
    </row>
    <row r="410" spans="4:4" x14ac:dyDescent="0.2">
      <c r="D410" s="103">
        <f ca="1"/>
        <v>15.6</v>
      </c>
    </row>
    <row r="411" spans="4:4" x14ac:dyDescent="0.2">
      <c r="D411" s="103">
        <f ca="1"/>
        <v>15.8</v>
      </c>
    </row>
    <row r="412" spans="4:4" x14ac:dyDescent="0.2">
      <c r="D412" s="103">
        <f ca="1"/>
        <v>16</v>
      </c>
    </row>
    <row r="413" spans="4:4" x14ac:dyDescent="0.2">
      <c r="D413" s="103">
        <f ca="1"/>
        <v>16</v>
      </c>
    </row>
    <row r="414" spans="4:4" x14ac:dyDescent="0.2">
      <c r="D414" s="103">
        <f ca="1"/>
        <v>16</v>
      </c>
    </row>
    <row r="415" spans="4:4" x14ac:dyDescent="0.2">
      <c r="D415" s="103">
        <f ca="1"/>
        <v>16</v>
      </c>
    </row>
    <row r="416" spans="4:4" x14ac:dyDescent="0.2">
      <c r="D416" s="103">
        <f ca="1"/>
        <v>16</v>
      </c>
    </row>
    <row r="417" spans="4:4" x14ac:dyDescent="0.2">
      <c r="D417" s="103">
        <f ca="1"/>
        <v>16</v>
      </c>
    </row>
    <row r="418" spans="4:4" x14ac:dyDescent="0.2">
      <c r="D418" s="103">
        <f ca="1"/>
        <v>16</v>
      </c>
    </row>
    <row r="419" spans="4:4" x14ac:dyDescent="0.2">
      <c r="D419" s="103">
        <f ca="1"/>
        <v>16</v>
      </c>
    </row>
    <row r="420" spans="4:4" x14ac:dyDescent="0.2">
      <c r="D420" s="103">
        <f ca="1"/>
        <v>16</v>
      </c>
    </row>
    <row r="421" spans="4:4" x14ac:dyDescent="0.2">
      <c r="D421" s="103">
        <f ca="1"/>
        <v>16</v>
      </c>
    </row>
    <row r="422" spans="4:4" x14ac:dyDescent="0.2">
      <c r="D422" s="103">
        <f ca="1"/>
        <v>16</v>
      </c>
    </row>
    <row r="423" spans="4:4" x14ac:dyDescent="0.2">
      <c r="D423" s="103">
        <f ca="1"/>
        <v>16</v>
      </c>
    </row>
    <row r="424" spans="4:4" x14ac:dyDescent="0.2">
      <c r="D424" s="103">
        <f ca="1"/>
        <v>16.100000000000001</v>
      </c>
    </row>
    <row r="425" spans="4:4" x14ac:dyDescent="0.2">
      <c r="D425" s="103">
        <f ca="1"/>
        <v>16.2</v>
      </c>
    </row>
    <row r="426" spans="4:4" x14ac:dyDescent="0.2">
      <c r="D426" s="103">
        <f ca="1"/>
        <v>16.559999999999999</v>
      </c>
    </row>
    <row r="427" spans="4:4" x14ac:dyDescent="0.2">
      <c r="D427" s="103">
        <f ca="1"/>
        <v>17</v>
      </c>
    </row>
    <row r="428" spans="4:4" x14ac:dyDescent="0.2">
      <c r="D428" s="103">
        <f ca="1"/>
        <v>17</v>
      </c>
    </row>
    <row r="429" spans="4:4" x14ac:dyDescent="0.2">
      <c r="D429" s="103">
        <f ca="1"/>
        <v>17</v>
      </c>
    </row>
    <row r="430" spans="4:4" x14ac:dyDescent="0.2">
      <c r="D430" s="103">
        <f ca="1"/>
        <v>17</v>
      </c>
    </row>
    <row r="431" spans="4:4" x14ac:dyDescent="0.2">
      <c r="D431" s="103">
        <f ca="1"/>
        <v>17</v>
      </c>
    </row>
    <row r="432" spans="4:4" x14ac:dyDescent="0.2">
      <c r="D432" s="103">
        <f ca="1"/>
        <v>17</v>
      </c>
    </row>
    <row r="433" spans="4:4" x14ac:dyDescent="0.2">
      <c r="D433" s="103">
        <f ca="1"/>
        <v>17</v>
      </c>
    </row>
    <row r="434" spans="4:4" x14ac:dyDescent="0.2">
      <c r="D434" s="103">
        <f ca="1"/>
        <v>17.28</v>
      </c>
    </row>
    <row r="435" spans="4:4" x14ac:dyDescent="0.2">
      <c r="D435" s="103">
        <f ca="1"/>
        <v>17.8</v>
      </c>
    </row>
    <row r="436" spans="4:4" x14ac:dyDescent="0.2">
      <c r="D436" s="103">
        <f ca="1"/>
        <v>17.8</v>
      </c>
    </row>
    <row r="437" spans="4:4" x14ac:dyDescent="0.2">
      <c r="D437" s="103">
        <f ca="1"/>
        <v>18</v>
      </c>
    </row>
    <row r="438" spans="4:4" x14ac:dyDescent="0.2">
      <c r="D438" s="103">
        <f ca="1"/>
        <v>18</v>
      </c>
    </row>
    <row r="439" spans="4:4" x14ac:dyDescent="0.2">
      <c r="D439" s="103">
        <f ca="1"/>
        <v>18</v>
      </c>
    </row>
    <row r="440" spans="4:4" x14ac:dyDescent="0.2">
      <c r="D440" s="103">
        <f ca="1"/>
        <v>18</v>
      </c>
    </row>
    <row r="441" spans="4:4" x14ac:dyDescent="0.2">
      <c r="D441" s="103">
        <f ca="1"/>
        <v>18</v>
      </c>
    </row>
    <row r="442" spans="4:4" x14ac:dyDescent="0.2">
      <c r="D442" s="103">
        <f ca="1"/>
        <v>18</v>
      </c>
    </row>
    <row r="443" spans="4:4" x14ac:dyDescent="0.2">
      <c r="D443" s="103">
        <f ca="1"/>
        <v>18</v>
      </c>
    </row>
    <row r="444" spans="4:4" x14ac:dyDescent="0.2">
      <c r="D444" s="103">
        <f ca="1"/>
        <v>18</v>
      </c>
    </row>
    <row r="445" spans="4:4" x14ac:dyDescent="0.2">
      <c r="D445" s="103">
        <f ca="1"/>
        <v>18</v>
      </c>
    </row>
    <row r="446" spans="4:4" x14ac:dyDescent="0.2">
      <c r="D446" s="103">
        <f ca="1"/>
        <v>18</v>
      </c>
    </row>
    <row r="447" spans="4:4" x14ac:dyDescent="0.2">
      <c r="D447" s="103">
        <f ca="1"/>
        <v>18</v>
      </c>
    </row>
    <row r="448" spans="4:4" x14ac:dyDescent="0.2">
      <c r="D448" s="103">
        <f ca="1"/>
        <v>18</v>
      </c>
    </row>
    <row r="449" spans="4:4" x14ac:dyDescent="0.2">
      <c r="D449" s="103">
        <f ca="1"/>
        <v>18</v>
      </c>
    </row>
    <row r="450" spans="4:4" x14ac:dyDescent="0.2">
      <c r="D450" s="103">
        <f ca="1"/>
        <v>18</v>
      </c>
    </row>
    <row r="451" spans="4:4" x14ac:dyDescent="0.2">
      <c r="D451" s="103">
        <f ca="1"/>
        <v>18</v>
      </c>
    </row>
    <row r="452" spans="4:4" x14ac:dyDescent="0.2">
      <c r="D452" s="103">
        <f ca="1"/>
        <v>18.72</v>
      </c>
    </row>
    <row r="453" spans="4:4" x14ac:dyDescent="0.2">
      <c r="D453" s="103">
        <f ca="1"/>
        <v>18.72</v>
      </c>
    </row>
    <row r="454" spans="4:4" x14ac:dyDescent="0.2">
      <c r="D454" s="103">
        <f ca="1"/>
        <v>18.72</v>
      </c>
    </row>
    <row r="455" spans="4:4" x14ac:dyDescent="0.2">
      <c r="D455" s="103">
        <f ca="1"/>
        <v>18.72</v>
      </c>
    </row>
    <row r="456" spans="4:4" x14ac:dyDescent="0.2">
      <c r="D456" s="103">
        <f ca="1"/>
        <v>19</v>
      </c>
    </row>
    <row r="457" spans="4:4" x14ac:dyDescent="0.2">
      <c r="D457" s="103">
        <f ca="1"/>
        <v>19</v>
      </c>
    </row>
    <row r="458" spans="4:4" x14ac:dyDescent="0.2">
      <c r="D458" s="103">
        <f ca="1"/>
        <v>19</v>
      </c>
    </row>
    <row r="459" spans="4:4" x14ac:dyDescent="0.2">
      <c r="D459" s="103">
        <f ca="1"/>
        <v>19</v>
      </c>
    </row>
    <row r="460" spans="4:4" x14ac:dyDescent="0.2">
      <c r="D460" s="103">
        <f ca="1"/>
        <v>19</v>
      </c>
    </row>
    <row r="461" spans="4:4" x14ac:dyDescent="0.2">
      <c r="D461" s="103">
        <f ca="1"/>
        <v>19</v>
      </c>
    </row>
    <row r="462" spans="4:4" x14ac:dyDescent="0.2">
      <c r="D462" s="103">
        <f ca="1"/>
        <v>19</v>
      </c>
    </row>
    <row r="463" spans="4:4" x14ac:dyDescent="0.2">
      <c r="D463" s="103">
        <f ca="1"/>
        <v>19</v>
      </c>
    </row>
    <row r="464" spans="4:4" x14ac:dyDescent="0.2">
      <c r="D464" s="103">
        <f ca="1"/>
        <v>19</v>
      </c>
    </row>
    <row r="465" spans="4:4" x14ac:dyDescent="0.2">
      <c r="D465" s="103">
        <f ca="1"/>
        <v>19</v>
      </c>
    </row>
    <row r="466" spans="4:4" x14ac:dyDescent="0.2">
      <c r="D466" s="103">
        <f ca="1"/>
        <v>19</v>
      </c>
    </row>
    <row r="467" spans="4:4" x14ac:dyDescent="0.2">
      <c r="D467" s="103">
        <f ca="1"/>
        <v>19</v>
      </c>
    </row>
    <row r="468" spans="4:4" x14ac:dyDescent="0.2">
      <c r="D468" s="103">
        <f ca="1"/>
        <v>19</v>
      </c>
    </row>
    <row r="469" spans="4:4" x14ac:dyDescent="0.2">
      <c r="D469" s="103">
        <f ca="1"/>
        <v>19</v>
      </c>
    </row>
    <row r="470" spans="4:4" x14ac:dyDescent="0.2">
      <c r="D470" s="103">
        <f ca="1"/>
        <v>19</v>
      </c>
    </row>
    <row r="471" spans="4:4" x14ac:dyDescent="0.2">
      <c r="D471" s="103">
        <f ca="1"/>
        <v>19</v>
      </c>
    </row>
    <row r="472" spans="4:4" x14ac:dyDescent="0.2">
      <c r="D472" s="103">
        <f ca="1"/>
        <v>19</v>
      </c>
    </row>
    <row r="473" spans="4:4" x14ac:dyDescent="0.2">
      <c r="D473" s="103">
        <f ca="1"/>
        <v>19</v>
      </c>
    </row>
    <row r="474" spans="4:4" x14ac:dyDescent="0.2">
      <c r="D474" s="103">
        <f ca="1"/>
        <v>19.2</v>
      </c>
    </row>
    <row r="475" spans="4:4" x14ac:dyDescent="0.2">
      <c r="D475" s="103">
        <f ca="1"/>
        <v>19.600000000000001</v>
      </c>
    </row>
    <row r="476" spans="4:4" x14ac:dyDescent="0.2">
      <c r="D476" s="103">
        <f ca="1"/>
        <v>19.600000000000001</v>
      </c>
    </row>
    <row r="477" spans="4:4" x14ac:dyDescent="0.2">
      <c r="D477" s="103">
        <f ca="1"/>
        <v>20</v>
      </c>
    </row>
    <row r="478" spans="4:4" x14ac:dyDescent="0.2">
      <c r="D478" s="103">
        <f ca="1"/>
        <v>20</v>
      </c>
    </row>
    <row r="479" spans="4:4" x14ac:dyDescent="0.2">
      <c r="D479" s="103">
        <f ca="1"/>
        <v>20</v>
      </c>
    </row>
    <row r="480" spans="4:4" x14ac:dyDescent="0.2">
      <c r="D480" s="103">
        <f ca="1"/>
        <v>20</v>
      </c>
    </row>
    <row r="481" spans="4:4" x14ac:dyDescent="0.2">
      <c r="D481" s="103">
        <f ca="1"/>
        <v>20</v>
      </c>
    </row>
    <row r="482" spans="4:4" x14ac:dyDescent="0.2">
      <c r="D482" s="103">
        <f ca="1"/>
        <v>20</v>
      </c>
    </row>
    <row r="483" spans="4:4" x14ac:dyDescent="0.2">
      <c r="D483" s="103">
        <f ca="1"/>
        <v>20</v>
      </c>
    </row>
    <row r="484" spans="4:4" x14ac:dyDescent="0.2">
      <c r="D484" s="103">
        <f ca="1"/>
        <v>20</v>
      </c>
    </row>
    <row r="485" spans="4:4" x14ac:dyDescent="0.2">
      <c r="D485" s="103">
        <f ca="1"/>
        <v>20</v>
      </c>
    </row>
    <row r="486" spans="4:4" x14ac:dyDescent="0.2">
      <c r="D486" s="103">
        <f ca="1"/>
        <v>20</v>
      </c>
    </row>
    <row r="487" spans="4:4" x14ac:dyDescent="0.2">
      <c r="D487" s="103">
        <f ca="1"/>
        <v>20</v>
      </c>
    </row>
    <row r="488" spans="4:4" x14ac:dyDescent="0.2">
      <c r="D488" s="103">
        <f ca="1"/>
        <v>20</v>
      </c>
    </row>
    <row r="489" spans="4:4" x14ac:dyDescent="0.2">
      <c r="D489" s="103">
        <f ca="1"/>
        <v>20</v>
      </c>
    </row>
    <row r="490" spans="4:4" x14ac:dyDescent="0.2">
      <c r="D490" s="103">
        <f ca="1"/>
        <v>20</v>
      </c>
    </row>
    <row r="491" spans="4:4" x14ac:dyDescent="0.2">
      <c r="D491" s="103">
        <f ca="1"/>
        <v>20</v>
      </c>
    </row>
    <row r="492" spans="4:4" x14ac:dyDescent="0.2">
      <c r="D492" s="103">
        <f ca="1"/>
        <v>20</v>
      </c>
    </row>
    <row r="493" spans="4:4" x14ac:dyDescent="0.2">
      <c r="D493" s="103">
        <f ca="1"/>
        <v>20</v>
      </c>
    </row>
    <row r="494" spans="4:4" x14ac:dyDescent="0.2">
      <c r="D494" s="103">
        <f ca="1"/>
        <v>20</v>
      </c>
    </row>
    <row r="495" spans="4:4" x14ac:dyDescent="0.2">
      <c r="D495" s="103">
        <f ca="1"/>
        <v>20</v>
      </c>
    </row>
    <row r="496" spans="4:4" x14ac:dyDescent="0.2">
      <c r="D496" s="103">
        <f ca="1"/>
        <v>20</v>
      </c>
    </row>
    <row r="497" spans="4:4" x14ac:dyDescent="0.2">
      <c r="D497" s="103">
        <f ca="1"/>
        <v>20</v>
      </c>
    </row>
    <row r="498" spans="4:4" x14ac:dyDescent="0.2">
      <c r="D498" s="103">
        <f ca="1"/>
        <v>20</v>
      </c>
    </row>
    <row r="499" spans="4:4" x14ac:dyDescent="0.2">
      <c r="D499" s="103">
        <f ca="1"/>
        <v>20</v>
      </c>
    </row>
    <row r="500" spans="4:4" x14ac:dyDescent="0.2">
      <c r="D500" s="103">
        <f ca="1"/>
        <v>20</v>
      </c>
    </row>
    <row r="501" spans="4:4" x14ac:dyDescent="0.2">
      <c r="D501" s="103">
        <f ca="1"/>
        <v>20</v>
      </c>
    </row>
    <row r="502" spans="4:4" x14ac:dyDescent="0.2">
      <c r="D502" s="103">
        <f ca="1"/>
        <v>20</v>
      </c>
    </row>
    <row r="503" spans="4:4" x14ac:dyDescent="0.2">
      <c r="D503" s="103">
        <f ca="1"/>
        <v>20</v>
      </c>
    </row>
    <row r="504" spans="4:4" x14ac:dyDescent="0.2">
      <c r="D504" s="103">
        <f ca="1"/>
        <v>20</v>
      </c>
    </row>
    <row r="505" spans="4:4" x14ac:dyDescent="0.2">
      <c r="D505" s="103">
        <f ca="1"/>
        <v>20</v>
      </c>
    </row>
    <row r="506" spans="4:4" x14ac:dyDescent="0.2">
      <c r="D506" s="103">
        <f ca="1"/>
        <v>20</v>
      </c>
    </row>
    <row r="507" spans="4:4" x14ac:dyDescent="0.2">
      <c r="D507" s="103">
        <f ca="1"/>
        <v>20</v>
      </c>
    </row>
    <row r="508" spans="4:4" x14ac:dyDescent="0.2">
      <c r="D508" s="103">
        <f ca="1"/>
        <v>20</v>
      </c>
    </row>
    <row r="509" spans="4:4" x14ac:dyDescent="0.2">
      <c r="D509" s="103">
        <f ca="1"/>
        <v>20</v>
      </c>
    </row>
    <row r="510" spans="4:4" x14ac:dyDescent="0.2">
      <c r="D510" s="103">
        <f ca="1"/>
        <v>20</v>
      </c>
    </row>
    <row r="511" spans="4:4" x14ac:dyDescent="0.2">
      <c r="D511" s="103">
        <f ca="1"/>
        <v>20</v>
      </c>
    </row>
    <row r="512" spans="4:4" x14ac:dyDescent="0.2">
      <c r="D512" s="103">
        <f ca="1"/>
        <v>20</v>
      </c>
    </row>
    <row r="513" spans="4:4" x14ac:dyDescent="0.2">
      <c r="D513" s="103">
        <f ca="1"/>
        <v>20</v>
      </c>
    </row>
    <row r="514" spans="4:4" x14ac:dyDescent="0.2">
      <c r="D514" s="103">
        <f ca="1"/>
        <v>20</v>
      </c>
    </row>
    <row r="515" spans="4:4" x14ac:dyDescent="0.2">
      <c r="D515" s="103">
        <f ca="1"/>
        <v>20</v>
      </c>
    </row>
    <row r="516" spans="4:4" x14ac:dyDescent="0.2">
      <c r="D516" s="103">
        <f ca="1"/>
        <v>20</v>
      </c>
    </row>
    <row r="517" spans="4:4" x14ac:dyDescent="0.2">
      <c r="D517" s="103">
        <f ca="1"/>
        <v>20</v>
      </c>
    </row>
    <row r="518" spans="4:4" x14ac:dyDescent="0.2">
      <c r="D518" s="103">
        <f ca="1"/>
        <v>20</v>
      </c>
    </row>
    <row r="519" spans="4:4" x14ac:dyDescent="0.2">
      <c r="D519" s="103">
        <f ca="1"/>
        <v>20</v>
      </c>
    </row>
    <row r="520" spans="4:4" x14ac:dyDescent="0.2">
      <c r="D520" s="103">
        <f ca="1"/>
        <v>20</v>
      </c>
    </row>
    <row r="521" spans="4:4" x14ac:dyDescent="0.2">
      <c r="D521" s="103">
        <f ca="1"/>
        <v>20</v>
      </c>
    </row>
    <row r="522" spans="4:4" x14ac:dyDescent="0.2">
      <c r="D522" s="103">
        <f ca="1"/>
        <v>20</v>
      </c>
    </row>
    <row r="523" spans="4:4" x14ac:dyDescent="0.2">
      <c r="D523" s="103">
        <f ca="1"/>
        <v>20</v>
      </c>
    </row>
    <row r="524" spans="4:4" x14ac:dyDescent="0.2">
      <c r="D524" s="103">
        <f ca="1"/>
        <v>20</v>
      </c>
    </row>
    <row r="525" spans="4:4" x14ac:dyDescent="0.2">
      <c r="D525" s="103">
        <f ca="1"/>
        <v>20</v>
      </c>
    </row>
    <row r="526" spans="4:4" x14ac:dyDescent="0.2">
      <c r="D526" s="103">
        <f ca="1"/>
        <v>20</v>
      </c>
    </row>
    <row r="527" spans="4:4" x14ac:dyDescent="0.2">
      <c r="D527" s="103">
        <f ca="1"/>
        <v>20</v>
      </c>
    </row>
    <row r="528" spans="4:4" x14ac:dyDescent="0.2">
      <c r="D528" s="103">
        <f ca="1"/>
        <v>20</v>
      </c>
    </row>
    <row r="529" spans="4:4" x14ac:dyDescent="0.2">
      <c r="D529" s="103">
        <f ca="1"/>
        <v>20</v>
      </c>
    </row>
    <row r="530" spans="4:4" x14ac:dyDescent="0.2">
      <c r="D530" s="103">
        <f ca="1"/>
        <v>20</v>
      </c>
    </row>
    <row r="531" spans="4:4" x14ac:dyDescent="0.2">
      <c r="D531" s="103">
        <f ca="1"/>
        <v>20</v>
      </c>
    </row>
    <row r="532" spans="4:4" x14ac:dyDescent="0.2">
      <c r="D532" s="103">
        <f ca="1"/>
        <v>20</v>
      </c>
    </row>
    <row r="533" spans="4:4" x14ac:dyDescent="0.2">
      <c r="D533" s="103">
        <f ca="1"/>
        <v>20</v>
      </c>
    </row>
    <row r="534" spans="4:4" x14ac:dyDescent="0.2">
      <c r="D534" s="103">
        <f ca="1"/>
        <v>20</v>
      </c>
    </row>
    <row r="535" spans="4:4" x14ac:dyDescent="0.2">
      <c r="D535" s="103">
        <f ca="1"/>
        <v>20</v>
      </c>
    </row>
    <row r="536" spans="4:4" x14ac:dyDescent="0.2">
      <c r="D536" s="103">
        <f ca="1"/>
        <v>20</v>
      </c>
    </row>
    <row r="537" spans="4:4" x14ac:dyDescent="0.2">
      <c r="D537" s="103">
        <f ca="1"/>
        <v>20</v>
      </c>
    </row>
    <row r="538" spans="4:4" x14ac:dyDescent="0.2">
      <c r="D538" s="103">
        <f ca="1"/>
        <v>20</v>
      </c>
    </row>
    <row r="539" spans="4:4" x14ac:dyDescent="0.2">
      <c r="D539" s="103">
        <f ca="1"/>
        <v>20</v>
      </c>
    </row>
    <row r="540" spans="4:4" x14ac:dyDescent="0.2">
      <c r="D540" s="103">
        <f ca="1"/>
        <v>20</v>
      </c>
    </row>
    <row r="541" spans="4:4" x14ac:dyDescent="0.2">
      <c r="D541" s="103">
        <f ca="1"/>
        <v>20</v>
      </c>
    </row>
    <row r="542" spans="4:4" x14ac:dyDescent="0.2">
      <c r="D542" s="103">
        <f ca="1"/>
        <v>20</v>
      </c>
    </row>
    <row r="543" spans="4:4" x14ac:dyDescent="0.2">
      <c r="D543" s="103">
        <f ca="1"/>
        <v>20</v>
      </c>
    </row>
    <row r="544" spans="4:4" x14ac:dyDescent="0.2">
      <c r="D544" s="103">
        <f ca="1"/>
        <v>20</v>
      </c>
    </row>
    <row r="545" spans="4:4" x14ac:dyDescent="0.2">
      <c r="D545" s="103">
        <f ca="1"/>
        <v>20</v>
      </c>
    </row>
    <row r="546" spans="4:4" x14ac:dyDescent="0.2">
      <c r="D546" s="103">
        <f ca="1"/>
        <v>20</v>
      </c>
    </row>
    <row r="547" spans="4:4" x14ac:dyDescent="0.2">
      <c r="D547" s="103">
        <f ca="1"/>
        <v>20</v>
      </c>
    </row>
    <row r="548" spans="4:4" x14ac:dyDescent="0.2">
      <c r="D548" s="103">
        <f ca="1"/>
        <v>20</v>
      </c>
    </row>
    <row r="549" spans="4:4" x14ac:dyDescent="0.2">
      <c r="D549" s="103">
        <f ca="1"/>
        <v>20</v>
      </c>
    </row>
    <row r="550" spans="4:4" x14ac:dyDescent="0.2">
      <c r="D550" s="103">
        <f ca="1"/>
        <v>20</v>
      </c>
    </row>
    <row r="551" spans="4:4" x14ac:dyDescent="0.2">
      <c r="D551" s="103">
        <f ca="1"/>
        <v>20</v>
      </c>
    </row>
    <row r="552" spans="4:4" x14ac:dyDescent="0.2">
      <c r="D552" s="103">
        <f ca="1"/>
        <v>20</v>
      </c>
    </row>
    <row r="553" spans="4:4" x14ac:dyDescent="0.2">
      <c r="D553" s="103">
        <f ca="1"/>
        <v>20</v>
      </c>
    </row>
    <row r="554" spans="4:4" x14ac:dyDescent="0.2">
      <c r="D554" s="103">
        <f ca="1"/>
        <v>20</v>
      </c>
    </row>
    <row r="555" spans="4:4" x14ac:dyDescent="0.2">
      <c r="D555" s="103">
        <f ca="1"/>
        <v>20</v>
      </c>
    </row>
    <row r="556" spans="4:4" x14ac:dyDescent="0.2">
      <c r="D556" s="103">
        <f ca="1"/>
        <v>20</v>
      </c>
    </row>
    <row r="557" spans="4:4" x14ac:dyDescent="0.2">
      <c r="D557" s="103">
        <f ca="1"/>
        <v>20</v>
      </c>
    </row>
    <row r="558" spans="4:4" x14ac:dyDescent="0.2">
      <c r="D558" s="103">
        <f ca="1"/>
        <v>20</v>
      </c>
    </row>
    <row r="559" spans="4:4" x14ac:dyDescent="0.2">
      <c r="D559" s="103">
        <f ca="1"/>
        <v>20</v>
      </c>
    </row>
    <row r="560" spans="4:4" x14ac:dyDescent="0.2">
      <c r="D560" s="103">
        <f ca="1"/>
        <v>20</v>
      </c>
    </row>
    <row r="561" spans="4:4" x14ac:dyDescent="0.2">
      <c r="D561" s="103">
        <f ca="1"/>
        <v>20</v>
      </c>
    </row>
    <row r="562" spans="4:4" x14ac:dyDescent="0.2">
      <c r="D562" s="103">
        <f ca="1"/>
        <v>20</v>
      </c>
    </row>
    <row r="563" spans="4:4" x14ac:dyDescent="0.2">
      <c r="D563" s="103">
        <f ca="1"/>
        <v>20</v>
      </c>
    </row>
    <row r="564" spans="4:4" x14ac:dyDescent="0.2">
      <c r="D564" s="103">
        <f ca="1"/>
        <v>20</v>
      </c>
    </row>
    <row r="565" spans="4:4" x14ac:dyDescent="0.2">
      <c r="D565" s="103">
        <f ca="1"/>
        <v>20</v>
      </c>
    </row>
    <row r="566" spans="4:4" x14ac:dyDescent="0.2">
      <c r="D566" s="103">
        <f ca="1"/>
        <v>20</v>
      </c>
    </row>
    <row r="567" spans="4:4" x14ac:dyDescent="0.2">
      <c r="D567" s="103">
        <f ca="1"/>
        <v>20</v>
      </c>
    </row>
    <row r="568" spans="4:4" x14ac:dyDescent="0.2">
      <c r="D568" s="103">
        <f ca="1"/>
        <v>20</v>
      </c>
    </row>
    <row r="569" spans="4:4" x14ac:dyDescent="0.2">
      <c r="D569" s="103">
        <f ca="1"/>
        <v>20.16</v>
      </c>
    </row>
    <row r="570" spans="4:4" x14ac:dyDescent="0.2">
      <c r="D570" s="103">
        <f ca="1"/>
        <v>20.5</v>
      </c>
    </row>
    <row r="571" spans="4:4" x14ac:dyDescent="0.2">
      <c r="D571" s="103">
        <f ca="1"/>
        <v>21</v>
      </c>
    </row>
    <row r="572" spans="4:4" x14ac:dyDescent="0.2">
      <c r="D572" s="103">
        <f ca="1"/>
        <v>21</v>
      </c>
    </row>
    <row r="573" spans="4:4" x14ac:dyDescent="0.2">
      <c r="D573" s="103">
        <f ca="1"/>
        <v>21</v>
      </c>
    </row>
    <row r="574" spans="4:4" x14ac:dyDescent="0.2">
      <c r="D574" s="103">
        <f ca="1"/>
        <v>21</v>
      </c>
    </row>
    <row r="575" spans="4:4" x14ac:dyDescent="0.2">
      <c r="D575" s="103">
        <f ca="1"/>
        <v>21</v>
      </c>
    </row>
    <row r="576" spans="4:4" x14ac:dyDescent="0.2">
      <c r="D576" s="103">
        <f ca="1"/>
        <v>21</v>
      </c>
    </row>
    <row r="577" spans="4:4" x14ac:dyDescent="0.2">
      <c r="D577" s="103">
        <f ca="1"/>
        <v>21</v>
      </c>
    </row>
    <row r="578" spans="4:4" x14ac:dyDescent="0.2">
      <c r="D578" s="103">
        <f ca="1"/>
        <v>21</v>
      </c>
    </row>
    <row r="579" spans="4:4" x14ac:dyDescent="0.2">
      <c r="D579" s="103">
        <f ca="1"/>
        <v>21</v>
      </c>
    </row>
    <row r="580" spans="4:4" x14ac:dyDescent="0.2">
      <c r="D580" s="103">
        <f ca="1"/>
        <v>21</v>
      </c>
    </row>
    <row r="581" spans="4:4" x14ac:dyDescent="0.2">
      <c r="D581" s="103">
        <f ca="1"/>
        <v>21</v>
      </c>
    </row>
    <row r="582" spans="4:4" x14ac:dyDescent="0.2">
      <c r="D582" s="103">
        <f ca="1"/>
        <v>21</v>
      </c>
    </row>
    <row r="583" spans="4:4" x14ac:dyDescent="0.2">
      <c r="D583" s="103">
        <f ca="1"/>
        <v>21</v>
      </c>
    </row>
    <row r="584" spans="4:4" x14ac:dyDescent="0.2">
      <c r="D584" s="103">
        <f ca="1"/>
        <v>21.599999999999998</v>
      </c>
    </row>
    <row r="585" spans="4:4" x14ac:dyDescent="0.2">
      <c r="D585" s="103">
        <f ca="1"/>
        <v>21.599999999999998</v>
      </c>
    </row>
    <row r="586" spans="4:4" x14ac:dyDescent="0.2">
      <c r="D586" s="103">
        <f ca="1"/>
        <v>21.9</v>
      </c>
    </row>
    <row r="587" spans="4:4" x14ac:dyDescent="0.2">
      <c r="D587" s="103">
        <f ca="1"/>
        <v>22</v>
      </c>
    </row>
    <row r="588" spans="4:4" x14ac:dyDescent="0.2">
      <c r="D588" s="103">
        <f ca="1"/>
        <v>22</v>
      </c>
    </row>
    <row r="589" spans="4:4" x14ac:dyDescent="0.2">
      <c r="D589" s="103">
        <f ca="1"/>
        <v>22</v>
      </c>
    </row>
    <row r="590" spans="4:4" x14ac:dyDescent="0.2">
      <c r="D590" s="103">
        <f ca="1"/>
        <v>22</v>
      </c>
    </row>
    <row r="591" spans="4:4" x14ac:dyDescent="0.2">
      <c r="D591" s="103">
        <f ca="1"/>
        <v>22</v>
      </c>
    </row>
    <row r="592" spans="4:4" x14ac:dyDescent="0.2">
      <c r="D592" s="103">
        <f ca="1"/>
        <v>22</v>
      </c>
    </row>
    <row r="593" spans="4:4" x14ac:dyDescent="0.2">
      <c r="D593" s="103">
        <f ca="1"/>
        <v>22</v>
      </c>
    </row>
    <row r="594" spans="4:4" x14ac:dyDescent="0.2">
      <c r="D594" s="103">
        <f ca="1"/>
        <v>22</v>
      </c>
    </row>
    <row r="595" spans="4:4" x14ac:dyDescent="0.2">
      <c r="D595" s="103">
        <f ca="1"/>
        <v>23</v>
      </c>
    </row>
    <row r="596" spans="4:4" x14ac:dyDescent="0.2">
      <c r="D596" s="103">
        <f ca="1"/>
        <v>23</v>
      </c>
    </row>
    <row r="597" spans="4:4" x14ac:dyDescent="0.2">
      <c r="D597" s="103">
        <f ca="1"/>
        <v>23</v>
      </c>
    </row>
    <row r="598" spans="4:4" x14ac:dyDescent="0.2">
      <c r="D598" s="103">
        <f ca="1"/>
        <v>23</v>
      </c>
    </row>
    <row r="599" spans="4:4" x14ac:dyDescent="0.2">
      <c r="D599" s="103">
        <f ca="1"/>
        <v>23</v>
      </c>
    </row>
    <row r="600" spans="4:4" x14ac:dyDescent="0.2">
      <c r="D600" s="103">
        <f ca="1"/>
        <v>23</v>
      </c>
    </row>
    <row r="601" spans="4:4" x14ac:dyDescent="0.2">
      <c r="D601" s="103">
        <f ca="1"/>
        <v>23</v>
      </c>
    </row>
    <row r="602" spans="4:4" x14ac:dyDescent="0.2">
      <c r="D602" s="103">
        <f ca="1"/>
        <v>23</v>
      </c>
    </row>
    <row r="603" spans="4:4" x14ac:dyDescent="0.2">
      <c r="D603" s="103">
        <f ca="1"/>
        <v>23.04</v>
      </c>
    </row>
    <row r="604" spans="4:4" x14ac:dyDescent="0.2">
      <c r="D604" s="103">
        <f ca="1"/>
        <v>23.04</v>
      </c>
    </row>
    <row r="605" spans="4:4" x14ac:dyDescent="0.2">
      <c r="D605" s="103">
        <f ca="1"/>
        <v>23.04</v>
      </c>
    </row>
    <row r="606" spans="4:4" x14ac:dyDescent="0.2">
      <c r="D606" s="103">
        <f ca="1"/>
        <v>23.1</v>
      </c>
    </row>
    <row r="607" spans="4:4" x14ac:dyDescent="0.2">
      <c r="D607" s="103">
        <f ca="1"/>
        <v>23.2</v>
      </c>
    </row>
    <row r="608" spans="4:4" x14ac:dyDescent="0.2">
      <c r="D608" s="103">
        <f ca="1"/>
        <v>23.472000000000001</v>
      </c>
    </row>
    <row r="609" spans="4:4" x14ac:dyDescent="0.2">
      <c r="D609" s="103">
        <f ca="1"/>
        <v>24</v>
      </c>
    </row>
    <row r="610" spans="4:4" x14ac:dyDescent="0.2">
      <c r="D610" s="103">
        <f ca="1"/>
        <v>24</v>
      </c>
    </row>
    <row r="611" spans="4:4" x14ac:dyDescent="0.2">
      <c r="D611" s="103">
        <f ca="1"/>
        <v>24</v>
      </c>
    </row>
    <row r="612" spans="4:4" x14ac:dyDescent="0.2">
      <c r="D612" s="103">
        <f ca="1"/>
        <v>24</v>
      </c>
    </row>
    <row r="613" spans="4:4" x14ac:dyDescent="0.2">
      <c r="D613" s="103">
        <f ca="1"/>
        <v>24</v>
      </c>
    </row>
    <row r="614" spans="4:4" x14ac:dyDescent="0.2">
      <c r="D614" s="103">
        <f ca="1"/>
        <v>24</v>
      </c>
    </row>
    <row r="615" spans="4:4" x14ac:dyDescent="0.2">
      <c r="D615" s="103">
        <f ca="1"/>
        <v>24.2</v>
      </c>
    </row>
    <row r="616" spans="4:4" x14ac:dyDescent="0.2">
      <c r="D616" s="103">
        <f ca="1"/>
        <v>24.4</v>
      </c>
    </row>
    <row r="617" spans="4:4" x14ac:dyDescent="0.2">
      <c r="D617" s="103">
        <f ca="1"/>
        <v>24.48</v>
      </c>
    </row>
    <row r="618" spans="4:4" x14ac:dyDescent="0.2">
      <c r="D618" s="103">
        <f ca="1"/>
        <v>24.767999999999997</v>
      </c>
    </row>
    <row r="619" spans="4:4" x14ac:dyDescent="0.2">
      <c r="D619" s="103">
        <f ca="1"/>
        <v>25</v>
      </c>
    </row>
    <row r="620" spans="4:4" x14ac:dyDescent="0.2">
      <c r="D620" s="103">
        <f ca="1"/>
        <v>25</v>
      </c>
    </row>
    <row r="621" spans="4:4" x14ac:dyDescent="0.2">
      <c r="D621" s="103">
        <f ca="1"/>
        <v>25</v>
      </c>
    </row>
    <row r="622" spans="4:4" x14ac:dyDescent="0.2">
      <c r="D622" s="103">
        <f ca="1"/>
        <v>25</v>
      </c>
    </row>
    <row r="623" spans="4:4" x14ac:dyDescent="0.2">
      <c r="D623" s="103">
        <f ca="1"/>
        <v>25</v>
      </c>
    </row>
    <row r="624" spans="4:4" x14ac:dyDescent="0.2">
      <c r="D624" s="103">
        <f ca="1"/>
        <v>25</v>
      </c>
    </row>
    <row r="625" spans="4:4" x14ac:dyDescent="0.2">
      <c r="D625" s="103">
        <f ca="1"/>
        <v>25.1</v>
      </c>
    </row>
    <row r="626" spans="4:4" x14ac:dyDescent="0.2">
      <c r="D626" s="103">
        <f ca="1"/>
        <v>25.919999999999998</v>
      </c>
    </row>
    <row r="627" spans="4:4" x14ac:dyDescent="0.2">
      <c r="D627" s="103">
        <f ca="1"/>
        <v>25.919999999999998</v>
      </c>
    </row>
    <row r="628" spans="4:4" x14ac:dyDescent="0.2">
      <c r="D628" s="103">
        <f ca="1"/>
        <v>26</v>
      </c>
    </row>
    <row r="629" spans="4:4" x14ac:dyDescent="0.2">
      <c r="D629" s="103">
        <f ca="1"/>
        <v>26</v>
      </c>
    </row>
    <row r="630" spans="4:4" x14ac:dyDescent="0.2">
      <c r="D630" s="103">
        <f ca="1"/>
        <v>26</v>
      </c>
    </row>
    <row r="631" spans="4:4" x14ac:dyDescent="0.2">
      <c r="D631" s="103">
        <f ca="1"/>
        <v>27</v>
      </c>
    </row>
    <row r="632" spans="4:4" x14ac:dyDescent="0.2">
      <c r="D632" s="103">
        <f ca="1"/>
        <v>27</v>
      </c>
    </row>
    <row r="633" spans="4:4" x14ac:dyDescent="0.2">
      <c r="D633" s="103">
        <f ca="1"/>
        <v>27</v>
      </c>
    </row>
    <row r="634" spans="4:4" x14ac:dyDescent="0.2">
      <c r="D634" s="103">
        <f ca="1"/>
        <v>27</v>
      </c>
    </row>
    <row r="635" spans="4:4" x14ac:dyDescent="0.2">
      <c r="D635" s="103">
        <f ca="1"/>
        <v>27</v>
      </c>
    </row>
    <row r="636" spans="4:4" x14ac:dyDescent="0.2">
      <c r="D636" s="103">
        <f ca="1"/>
        <v>27</v>
      </c>
    </row>
    <row r="637" spans="4:4" x14ac:dyDescent="0.2">
      <c r="D637" s="103">
        <f ca="1"/>
        <v>27.1</v>
      </c>
    </row>
    <row r="638" spans="4:4" x14ac:dyDescent="0.2">
      <c r="D638" s="103">
        <f ca="1"/>
        <v>27.36</v>
      </c>
    </row>
    <row r="639" spans="4:4" x14ac:dyDescent="0.2">
      <c r="D639" s="103">
        <f ca="1"/>
        <v>28</v>
      </c>
    </row>
    <row r="640" spans="4:4" x14ac:dyDescent="0.2">
      <c r="D640" s="103">
        <f ca="1"/>
        <v>28</v>
      </c>
    </row>
    <row r="641" spans="4:4" x14ac:dyDescent="0.2">
      <c r="D641" s="103">
        <f ca="1"/>
        <v>28</v>
      </c>
    </row>
    <row r="642" spans="4:4" x14ac:dyDescent="0.2">
      <c r="D642" s="103">
        <f ca="1"/>
        <v>28</v>
      </c>
    </row>
    <row r="643" spans="4:4" x14ac:dyDescent="0.2">
      <c r="D643" s="103">
        <f ca="1"/>
        <v>28</v>
      </c>
    </row>
    <row r="644" spans="4:4" x14ac:dyDescent="0.2">
      <c r="D644" s="103">
        <f ca="1"/>
        <v>29</v>
      </c>
    </row>
    <row r="645" spans="4:4" x14ac:dyDescent="0.2">
      <c r="D645" s="103">
        <f ca="1"/>
        <v>29</v>
      </c>
    </row>
    <row r="646" spans="4:4" x14ac:dyDescent="0.2">
      <c r="D646" s="103">
        <f ca="1"/>
        <v>29</v>
      </c>
    </row>
    <row r="647" spans="4:4" x14ac:dyDescent="0.2">
      <c r="D647" s="103">
        <f ca="1"/>
        <v>29.6</v>
      </c>
    </row>
    <row r="648" spans="4:4" x14ac:dyDescent="0.2">
      <c r="D648" s="103">
        <f ca="1"/>
        <v>29.807999999999996</v>
      </c>
    </row>
    <row r="649" spans="4:4" x14ac:dyDescent="0.2">
      <c r="D649" s="103">
        <f ca="1"/>
        <v>30</v>
      </c>
    </row>
    <row r="650" spans="4:4" x14ac:dyDescent="0.2">
      <c r="D650" s="103">
        <f ca="1"/>
        <v>30</v>
      </c>
    </row>
    <row r="651" spans="4:4" x14ac:dyDescent="0.2">
      <c r="D651" s="103">
        <f ca="1"/>
        <v>30</v>
      </c>
    </row>
    <row r="652" spans="4:4" x14ac:dyDescent="0.2">
      <c r="D652" s="103">
        <f ca="1"/>
        <v>30</v>
      </c>
    </row>
    <row r="653" spans="4:4" x14ac:dyDescent="0.2">
      <c r="D653" s="103">
        <f ca="1"/>
        <v>30</v>
      </c>
    </row>
    <row r="654" spans="4:4" x14ac:dyDescent="0.2">
      <c r="D654" s="103">
        <f ca="1"/>
        <v>30</v>
      </c>
    </row>
    <row r="655" spans="4:4" x14ac:dyDescent="0.2">
      <c r="D655" s="103">
        <f ca="1"/>
        <v>30</v>
      </c>
    </row>
    <row r="656" spans="4:4" x14ac:dyDescent="0.2">
      <c r="D656" s="103">
        <f ca="1"/>
        <v>30</v>
      </c>
    </row>
    <row r="657" spans="4:4" x14ac:dyDescent="0.2">
      <c r="D657" s="103">
        <f ca="1"/>
        <v>30.24</v>
      </c>
    </row>
    <row r="658" spans="4:4" x14ac:dyDescent="0.2">
      <c r="D658" s="103">
        <f ca="1"/>
        <v>30.24</v>
      </c>
    </row>
    <row r="659" spans="4:4" x14ac:dyDescent="0.2">
      <c r="D659" s="103">
        <f ca="1"/>
        <v>30.24</v>
      </c>
    </row>
    <row r="660" spans="4:4" x14ac:dyDescent="0.2">
      <c r="D660" s="103">
        <f ca="1"/>
        <v>30.24</v>
      </c>
    </row>
    <row r="661" spans="4:4" x14ac:dyDescent="0.2">
      <c r="D661" s="103">
        <f ca="1"/>
        <v>30.9</v>
      </c>
    </row>
    <row r="662" spans="4:4" x14ac:dyDescent="0.2">
      <c r="D662" s="103">
        <f ca="1"/>
        <v>31</v>
      </c>
    </row>
    <row r="663" spans="4:4" x14ac:dyDescent="0.2">
      <c r="D663" s="103">
        <f ca="1"/>
        <v>31</v>
      </c>
    </row>
    <row r="664" spans="4:4" x14ac:dyDescent="0.2">
      <c r="D664" s="103">
        <f ca="1"/>
        <v>31</v>
      </c>
    </row>
    <row r="665" spans="4:4" x14ac:dyDescent="0.2">
      <c r="D665" s="103">
        <f ca="1"/>
        <v>31</v>
      </c>
    </row>
    <row r="666" spans="4:4" x14ac:dyDescent="0.2">
      <c r="D666" s="103">
        <f ca="1"/>
        <v>31</v>
      </c>
    </row>
    <row r="667" spans="4:4" x14ac:dyDescent="0.2">
      <c r="D667" s="103">
        <f ca="1"/>
        <v>31.68</v>
      </c>
    </row>
    <row r="668" spans="4:4" x14ac:dyDescent="0.2">
      <c r="D668" s="103">
        <f ca="1"/>
        <v>32</v>
      </c>
    </row>
    <row r="669" spans="4:4" x14ac:dyDescent="0.2">
      <c r="D669" s="103">
        <f ca="1"/>
        <v>32</v>
      </c>
    </row>
    <row r="670" spans="4:4" x14ac:dyDescent="0.2">
      <c r="D670" s="103">
        <f ca="1"/>
        <v>32</v>
      </c>
    </row>
    <row r="671" spans="4:4" x14ac:dyDescent="0.2">
      <c r="D671" s="103">
        <f ca="1"/>
        <v>32.6</v>
      </c>
    </row>
    <row r="672" spans="4:4" x14ac:dyDescent="0.2">
      <c r="D672" s="103">
        <f ca="1"/>
        <v>33</v>
      </c>
    </row>
    <row r="673" spans="4:4" x14ac:dyDescent="0.2">
      <c r="D673" s="103">
        <f ca="1"/>
        <v>33</v>
      </c>
    </row>
    <row r="674" spans="4:4" x14ac:dyDescent="0.2">
      <c r="D674" s="103">
        <f ca="1"/>
        <v>33.119999999999997</v>
      </c>
    </row>
    <row r="675" spans="4:4" x14ac:dyDescent="0.2">
      <c r="D675" s="103">
        <f ca="1"/>
        <v>34</v>
      </c>
    </row>
    <row r="676" spans="4:4" x14ac:dyDescent="0.2">
      <c r="D676" s="103">
        <f ca="1"/>
        <v>34</v>
      </c>
    </row>
    <row r="677" spans="4:4" x14ac:dyDescent="0.2">
      <c r="D677" s="103">
        <f ca="1"/>
        <v>34</v>
      </c>
    </row>
    <row r="678" spans="4:4" x14ac:dyDescent="0.2">
      <c r="D678" s="103">
        <f ca="1"/>
        <v>34</v>
      </c>
    </row>
    <row r="679" spans="4:4" x14ac:dyDescent="0.2">
      <c r="D679" s="103">
        <f ca="1"/>
        <v>34</v>
      </c>
    </row>
    <row r="680" spans="4:4" x14ac:dyDescent="0.2">
      <c r="D680" s="103">
        <f ca="1"/>
        <v>34.56</v>
      </c>
    </row>
    <row r="681" spans="4:4" x14ac:dyDescent="0.2">
      <c r="D681" s="103">
        <f ca="1"/>
        <v>34.56</v>
      </c>
    </row>
    <row r="682" spans="4:4" x14ac:dyDescent="0.2">
      <c r="D682" s="103">
        <f ca="1"/>
        <v>35</v>
      </c>
    </row>
    <row r="683" spans="4:4" x14ac:dyDescent="0.2">
      <c r="D683" s="103">
        <f ca="1"/>
        <v>35</v>
      </c>
    </row>
    <row r="684" spans="4:4" x14ac:dyDescent="0.2">
      <c r="D684" s="103">
        <f ca="1"/>
        <v>35</v>
      </c>
    </row>
    <row r="685" spans="4:4" x14ac:dyDescent="0.2">
      <c r="D685" s="103">
        <f ca="1"/>
        <v>35</v>
      </c>
    </row>
    <row r="686" spans="4:4" x14ac:dyDescent="0.2">
      <c r="D686" s="103">
        <f ca="1"/>
        <v>35</v>
      </c>
    </row>
    <row r="687" spans="4:4" x14ac:dyDescent="0.2">
      <c r="D687" s="103">
        <f ca="1"/>
        <v>35.6</v>
      </c>
    </row>
    <row r="688" spans="4:4" x14ac:dyDescent="0.2">
      <c r="D688" s="103">
        <f ca="1"/>
        <v>36</v>
      </c>
    </row>
    <row r="689" spans="4:4" x14ac:dyDescent="0.2">
      <c r="D689" s="103">
        <f ca="1"/>
        <v>36</v>
      </c>
    </row>
    <row r="690" spans="4:4" x14ac:dyDescent="0.2">
      <c r="D690" s="103">
        <f ca="1"/>
        <v>36</v>
      </c>
    </row>
    <row r="691" spans="4:4" x14ac:dyDescent="0.2">
      <c r="D691" s="103">
        <f ca="1"/>
        <v>36</v>
      </c>
    </row>
    <row r="692" spans="4:4" x14ac:dyDescent="0.2">
      <c r="D692" s="103">
        <f ca="1"/>
        <v>36</v>
      </c>
    </row>
    <row r="693" spans="4:4" x14ac:dyDescent="0.2">
      <c r="D693" s="103">
        <f ca="1"/>
        <v>36</v>
      </c>
    </row>
    <row r="694" spans="4:4" x14ac:dyDescent="0.2">
      <c r="D694" s="103">
        <f ca="1"/>
        <v>36</v>
      </c>
    </row>
    <row r="695" spans="4:4" x14ac:dyDescent="0.2">
      <c r="D695" s="103">
        <f ca="1"/>
        <v>37</v>
      </c>
    </row>
    <row r="696" spans="4:4" x14ac:dyDescent="0.2">
      <c r="D696" s="103">
        <f ca="1"/>
        <v>37</v>
      </c>
    </row>
    <row r="697" spans="4:4" x14ac:dyDescent="0.2">
      <c r="D697" s="103">
        <f ca="1"/>
        <v>37</v>
      </c>
    </row>
    <row r="698" spans="4:4" x14ac:dyDescent="0.2">
      <c r="D698" s="103">
        <f ca="1"/>
        <v>38.879999999999995</v>
      </c>
    </row>
    <row r="699" spans="4:4" x14ac:dyDescent="0.2">
      <c r="D699" s="103">
        <f ca="1"/>
        <v>39</v>
      </c>
    </row>
    <row r="700" spans="4:4" x14ac:dyDescent="0.2">
      <c r="D700" s="103">
        <f ca="1"/>
        <v>40</v>
      </c>
    </row>
    <row r="701" spans="4:4" x14ac:dyDescent="0.2">
      <c r="D701" s="103">
        <f ca="1"/>
        <v>40</v>
      </c>
    </row>
    <row r="702" spans="4:4" x14ac:dyDescent="0.2">
      <c r="D702" s="103">
        <f ca="1"/>
        <v>40</v>
      </c>
    </row>
    <row r="703" spans="4:4" x14ac:dyDescent="0.2">
      <c r="D703" s="103">
        <f ca="1"/>
        <v>41.5</v>
      </c>
    </row>
    <row r="704" spans="4:4" x14ac:dyDescent="0.2">
      <c r="D704" s="103">
        <f ca="1"/>
        <v>42</v>
      </c>
    </row>
    <row r="705" spans="4:4" x14ac:dyDescent="0.2">
      <c r="D705" s="103">
        <f ca="1"/>
        <v>42</v>
      </c>
    </row>
    <row r="706" spans="4:4" x14ac:dyDescent="0.2">
      <c r="D706" s="103">
        <f ca="1"/>
        <v>42.2</v>
      </c>
    </row>
    <row r="707" spans="4:4" x14ac:dyDescent="0.2">
      <c r="D707" s="103">
        <f ca="1"/>
        <v>43</v>
      </c>
    </row>
    <row r="708" spans="4:4" x14ac:dyDescent="0.2">
      <c r="D708" s="103">
        <f ca="1"/>
        <v>43.199999999999996</v>
      </c>
    </row>
    <row r="709" spans="4:4" x14ac:dyDescent="0.2">
      <c r="D709" s="103">
        <f ca="1"/>
        <v>44</v>
      </c>
    </row>
    <row r="710" spans="4:4" x14ac:dyDescent="0.2">
      <c r="D710" s="103">
        <f ca="1"/>
        <v>44</v>
      </c>
    </row>
    <row r="711" spans="4:4" x14ac:dyDescent="0.2">
      <c r="D711" s="103">
        <f ca="1"/>
        <v>44.64</v>
      </c>
    </row>
    <row r="712" spans="4:4" x14ac:dyDescent="0.2">
      <c r="D712" s="103">
        <f ca="1"/>
        <v>44.64</v>
      </c>
    </row>
    <row r="713" spans="4:4" x14ac:dyDescent="0.2">
      <c r="D713" s="103">
        <f ca="1"/>
        <v>45</v>
      </c>
    </row>
    <row r="714" spans="4:4" x14ac:dyDescent="0.2">
      <c r="D714" s="103">
        <f ca="1"/>
        <v>46.08</v>
      </c>
    </row>
    <row r="715" spans="4:4" x14ac:dyDescent="0.2">
      <c r="D715" s="103">
        <f ca="1"/>
        <v>46.8</v>
      </c>
    </row>
    <row r="716" spans="4:4" x14ac:dyDescent="0.2">
      <c r="D716" s="103">
        <f ca="1"/>
        <v>47</v>
      </c>
    </row>
    <row r="717" spans="4:4" x14ac:dyDescent="0.2">
      <c r="D717" s="103">
        <f ca="1"/>
        <v>47</v>
      </c>
    </row>
    <row r="718" spans="4:4" x14ac:dyDescent="0.2">
      <c r="D718" s="103">
        <f ca="1"/>
        <v>48</v>
      </c>
    </row>
    <row r="719" spans="4:4" x14ac:dyDescent="0.2">
      <c r="D719" s="103">
        <f ca="1"/>
        <v>48</v>
      </c>
    </row>
    <row r="720" spans="4:4" x14ac:dyDescent="0.2">
      <c r="D720" s="103">
        <f ca="1"/>
        <v>50.4</v>
      </c>
    </row>
    <row r="721" spans="4:4" x14ac:dyDescent="0.2">
      <c r="D721" s="103">
        <f ca="1"/>
        <v>52</v>
      </c>
    </row>
    <row r="722" spans="4:4" x14ac:dyDescent="0.2">
      <c r="D722" s="103">
        <f ca="1"/>
        <v>54</v>
      </c>
    </row>
    <row r="723" spans="4:4" x14ac:dyDescent="0.2">
      <c r="D723" s="103">
        <f ca="1"/>
        <v>54</v>
      </c>
    </row>
    <row r="724" spans="4:4" x14ac:dyDescent="0.2">
      <c r="D724" s="103">
        <f ca="1"/>
        <v>56</v>
      </c>
    </row>
    <row r="725" spans="4:4" x14ac:dyDescent="0.2">
      <c r="D725" s="103">
        <f ca="1"/>
        <v>56.16</v>
      </c>
    </row>
    <row r="726" spans="4:4" x14ac:dyDescent="0.2">
      <c r="D726" s="103">
        <f ca="1"/>
        <v>58</v>
      </c>
    </row>
    <row r="727" spans="4:4" x14ac:dyDescent="0.2">
      <c r="D727" s="103">
        <f ca="1"/>
        <v>58.6</v>
      </c>
    </row>
    <row r="728" spans="4:4" x14ac:dyDescent="0.2">
      <c r="D728" s="103">
        <f ca="1"/>
        <v>59.3</v>
      </c>
    </row>
    <row r="729" spans="4:4" x14ac:dyDescent="0.2">
      <c r="D729" s="103">
        <f ca="1"/>
        <v>60</v>
      </c>
    </row>
    <row r="730" spans="4:4" x14ac:dyDescent="0.2">
      <c r="D730" s="103">
        <f ca="1"/>
        <v>60.48</v>
      </c>
    </row>
    <row r="731" spans="4:4" x14ac:dyDescent="0.2">
      <c r="D731" s="103">
        <f ca="1"/>
        <v>61</v>
      </c>
    </row>
    <row r="732" spans="4:4" x14ac:dyDescent="0.2">
      <c r="D732" s="103">
        <f ca="1"/>
        <v>61</v>
      </c>
    </row>
    <row r="733" spans="4:4" x14ac:dyDescent="0.2">
      <c r="D733" s="103">
        <f ca="1"/>
        <v>62</v>
      </c>
    </row>
    <row r="734" spans="4:4" x14ac:dyDescent="0.2">
      <c r="D734" s="103">
        <f ca="1"/>
        <v>63.36</v>
      </c>
    </row>
    <row r="735" spans="4:4" x14ac:dyDescent="0.2">
      <c r="D735" s="103">
        <f ca="1"/>
        <v>64</v>
      </c>
    </row>
    <row r="736" spans="4:4" x14ac:dyDescent="0.2">
      <c r="D736" s="103">
        <f ca="1"/>
        <v>64.8</v>
      </c>
    </row>
    <row r="737" spans="4:4" x14ac:dyDescent="0.2">
      <c r="D737" s="103">
        <f ca="1"/>
        <v>66.239999999999995</v>
      </c>
    </row>
    <row r="738" spans="4:4" x14ac:dyDescent="0.2">
      <c r="D738" s="103">
        <f ca="1"/>
        <v>66.239999999999995</v>
      </c>
    </row>
    <row r="739" spans="4:4" x14ac:dyDescent="0.2">
      <c r="D739" s="103">
        <f ca="1"/>
        <v>66.239999999999995</v>
      </c>
    </row>
    <row r="740" spans="4:4" x14ac:dyDescent="0.2">
      <c r="D740" s="103">
        <f ca="1"/>
        <v>67.400000000000006</v>
      </c>
    </row>
    <row r="741" spans="4:4" x14ac:dyDescent="0.2">
      <c r="D741" s="103">
        <f ca="1"/>
        <v>67.679999999999993</v>
      </c>
    </row>
    <row r="742" spans="4:4" x14ac:dyDescent="0.2">
      <c r="D742" s="103">
        <f ca="1"/>
        <v>67.679999999999993</v>
      </c>
    </row>
    <row r="743" spans="4:4" x14ac:dyDescent="0.2">
      <c r="D743" s="103">
        <f ca="1"/>
        <v>67.7</v>
      </c>
    </row>
    <row r="744" spans="4:4" x14ac:dyDescent="0.2">
      <c r="D744" s="103">
        <f ca="1"/>
        <v>69.12</v>
      </c>
    </row>
    <row r="745" spans="4:4" x14ac:dyDescent="0.2">
      <c r="D745" s="103">
        <f ca="1"/>
        <v>70</v>
      </c>
    </row>
    <row r="746" spans="4:4" x14ac:dyDescent="0.2">
      <c r="D746" s="103">
        <f ca="1"/>
        <v>71</v>
      </c>
    </row>
    <row r="747" spans="4:4" x14ac:dyDescent="0.2">
      <c r="D747" s="103">
        <f ca="1"/>
        <v>72</v>
      </c>
    </row>
    <row r="748" spans="4:4" x14ac:dyDescent="0.2">
      <c r="D748" s="103">
        <f ca="1"/>
        <v>75</v>
      </c>
    </row>
    <row r="749" spans="4:4" x14ac:dyDescent="0.2">
      <c r="D749" s="103">
        <f ca="1"/>
        <v>77.759999999999991</v>
      </c>
    </row>
    <row r="750" spans="4:4" x14ac:dyDescent="0.2">
      <c r="D750" s="103">
        <f ca="1"/>
        <v>80</v>
      </c>
    </row>
    <row r="751" spans="4:4" x14ac:dyDescent="0.2">
      <c r="D751" s="103">
        <f ca="1"/>
        <v>82.08</v>
      </c>
    </row>
    <row r="752" spans="4:4" x14ac:dyDescent="0.2">
      <c r="D752" s="103">
        <f ca="1"/>
        <v>84</v>
      </c>
    </row>
    <row r="753" spans="4:4" x14ac:dyDescent="0.2">
      <c r="D753" s="103">
        <f ca="1"/>
        <v>85</v>
      </c>
    </row>
    <row r="754" spans="4:4" x14ac:dyDescent="0.2">
      <c r="D754" s="103">
        <f ca="1"/>
        <v>86.399999999999991</v>
      </c>
    </row>
    <row r="755" spans="4:4" x14ac:dyDescent="0.2">
      <c r="D755" s="103">
        <f ca="1"/>
        <v>90</v>
      </c>
    </row>
    <row r="756" spans="4:4" x14ac:dyDescent="0.2">
      <c r="D756" s="103">
        <f ca="1"/>
        <v>93</v>
      </c>
    </row>
    <row r="757" spans="4:4" x14ac:dyDescent="0.2">
      <c r="D757" s="103">
        <f ca="1"/>
        <v>96</v>
      </c>
    </row>
    <row r="758" spans="4:4" x14ac:dyDescent="0.2">
      <c r="D758" s="103">
        <f ca="1"/>
        <v>96.4</v>
      </c>
    </row>
    <row r="759" spans="4:4" x14ac:dyDescent="0.2">
      <c r="D759" s="103">
        <f ca="1"/>
        <v>97</v>
      </c>
    </row>
    <row r="760" spans="4:4" x14ac:dyDescent="0.2">
      <c r="D760" s="103">
        <f ca="1"/>
        <v>99</v>
      </c>
    </row>
    <row r="761" spans="4:4" x14ac:dyDescent="0.2">
      <c r="D761" s="103">
        <f ca="1"/>
        <v>100</v>
      </c>
    </row>
    <row r="762" spans="4:4" x14ac:dyDescent="0.2">
      <c r="D762" s="103">
        <f ca="1"/>
        <v>100.8</v>
      </c>
    </row>
    <row r="763" spans="4:4" x14ac:dyDescent="0.2">
      <c r="D763" s="103">
        <f ca="1"/>
        <v>102</v>
      </c>
    </row>
    <row r="764" spans="4:4" x14ac:dyDescent="0.2">
      <c r="D764" s="103">
        <f ca="1"/>
        <v>104</v>
      </c>
    </row>
    <row r="765" spans="4:4" x14ac:dyDescent="0.2">
      <c r="D765" s="103">
        <f ca="1"/>
        <v>110</v>
      </c>
    </row>
    <row r="766" spans="4:4" x14ac:dyDescent="0.2">
      <c r="D766" s="103">
        <f ca="1"/>
        <v>113</v>
      </c>
    </row>
    <row r="767" spans="4:4" x14ac:dyDescent="0.2">
      <c r="D767" s="103">
        <f ca="1"/>
        <v>120</v>
      </c>
    </row>
    <row r="768" spans="4:4" x14ac:dyDescent="0.2">
      <c r="D768" s="103">
        <f ca="1"/>
        <v>120</v>
      </c>
    </row>
    <row r="769" spans="4:4" x14ac:dyDescent="0.2">
      <c r="D769" s="103">
        <f ca="1"/>
        <v>120</v>
      </c>
    </row>
    <row r="770" spans="4:4" x14ac:dyDescent="0.2">
      <c r="D770" s="103">
        <f ca="1"/>
        <v>121</v>
      </c>
    </row>
    <row r="771" spans="4:4" x14ac:dyDescent="0.2">
      <c r="D771" s="103">
        <f ca="1"/>
        <v>124</v>
      </c>
    </row>
    <row r="772" spans="4:4" x14ac:dyDescent="0.2">
      <c r="D772" s="103">
        <f ca="1"/>
        <v>125</v>
      </c>
    </row>
    <row r="773" spans="4:4" x14ac:dyDescent="0.2">
      <c r="D773" s="103">
        <f ca="1"/>
        <v>126</v>
      </c>
    </row>
    <row r="774" spans="4:4" x14ac:dyDescent="0.2">
      <c r="D774" s="103">
        <f ca="1"/>
        <v>130</v>
      </c>
    </row>
    <row r="775" spans="4:4" x14ac:dyDescent="0.2">
      <c r="D775" s="103">
        <f ca="1"/>
        <v>130</v>
      </c>
    </row>
    <row r="776" spans="4:4" x14ac:dyDescent="0.2">
      <c r="D776" s="103">
        <f ca="1"/>
        <v>130</v>
      </c>
    </row>
    <row r="777" spans="4:4" x14ac:dyDescent="0.2">
      <c r="D777" s="103">
        <f ca="1"/>
        <v>130</v>
      </c>
    </row>
    <row r="778" spans="4:4" x14ac:dyDescent="0.2">
      <c r="D778" s="103">
        <f ca="1"/>
        <v>139.68</v>
      </c>
    </row>
    <row r="779" spans="4:4" x14ac:dyDescent="0.2">
      <c r="D779" s="103">
        <f ca="1"/>
        <v>140</v>
      </c>
    </row>
    <row r="780" spans="4:4" x14ac:dyDescent="0.2">
      <c r="D780" s="103">
        <f ca="1"/>
        <v>140</v>
      </c>
    </row>
    <row r="781" spans="4:4" x14ac:dyDescent="0.2">
      <c r="D781" s="103">
        <f ca="1"/>
        <v>141.12</v>
      </c>
    </row>
    <row r="782" spans="4:4" x14ac:dyDescent="0.2">
      <c r="D782" s="103">
        <f ca="1"/>
        <v>158.4</v>
      </c>
    </row>
    <row r="783" spans="4:4" x14ac:dyDescent="0.2">
      <c r="D783" s="103">
        <f ca="1"/>
        <v>160</v>
      </c>
    </row>
    <row r="784" spans="4:4" x14ac:dyDescent="0.2">
      <c r="D784" s="103">
        <f ca="1"/>
        <v>160</v>
      </c>
    </row>
    <row r="785" spans="4:4" x14ac:dyDescent="0.2">
      <c r="D785" s="103">
        <f ca="1"/>
        <v>163</v>
      </c>
    </row>
    <row r="786" spans="4:4" x14ac:dyDescent="0.2">
      <c r="D786" s="103">
        <f ca="1"/>
        <v>168</v>
      </c>
    </row>
    <row r="787" spans="4:4" x14ac:dyDescent="0.2">
      <c r="D787" s="103">
        <f ca="1"/>
        <v>190</v>
      </c>
    </row>
    <row r="788" spans="4:4" x14ac:dyDescent="0.2">
      <c r="D788" s="103">
        <f ca="1"/>
        <v>200</v>
      </c>
    </row>
    <row r="789" spans="4:4" x14ac:dyDescent="0.2">
      <c r="D789" s="103">
        <f ca="1"/>
        <v>230</v>
      </c>
    </row>
    <row r="790" spans="4:4" x14ac:dyDescent="0.2">
      <c r="D790" s="103">
        <f ca="1"/>
        <v>250</v>
      </c>
    </row>
    <row r="791" spans="4:4" x14ac:dyDescent="0.2">
      <c r="D791" s="103">
        <f ca="1"/>
        <v>290</v>
      </c>
    </row>
    <row r="792" spans="4:4" x14ac:dyDescent="0.2">
      <c r="D792" s="103">
        <f ca="1"/>
        <v>300</v>
      </c>
    </row>
    <row r="793" spans="4:4" x14ac:dyDescent="0.2">
      <c r="D793" s="103">
        <f ca="1"/>
        <v>310</v>
      </c>
    </row>
    <row r="794" spans="4:4" x14ac:dyDescent="0.2">
      <c r="D794" s="103">
        <f ca="1"/>
        <v>370</v>
      </c>
    </row>
    <row r="795" spans="4:4" x14ac:dyDescent="0.2">
      <c r="D795" s="103">
        <f ca="1"/>
        <v>420</v>
      </c>
    </row>
    <row r="796" spans="4:4" x14ac:dyDescent="0.2">
      <c r="D796" s="103">
        <f ca="1"/>
        <v>466</v>
      </c>
    </row>
    <row r="797" spans="4:4" x14ac:dyDescent="0.2">
      <c r="D797" s="103">
        <f ca="1"/>
        <v>500</v>
      </c>
    </row>
    <row r="798" spans="4:4" x14ac:dyDescent="0.2">
      <c r="D798" s="103">
        <f ca="1"/>
        <v>580</v>
      </c>
    </row>
    <row r="799" spans="4:4" x14ac:dyDescent="0.2">
      <c r="D799" s="103">
        <f ca="1"/>
        <v>620</v>
      </c>
    </row>
    <row r="800" spans="4:4" x14ac:dyDescent="0.2">
      <c r="D800" s="103"/>
    </row>
    <row r="801" spans="4:4" x14ac:dyDescent="0.2">
      <c r="D801" s="103"/>
    </row>
    <row r="802" spans="4:4" x14ac:dyDescent="0.2">
      <c r="D802" s="103"/>
    </row>
    <row r="803" spans="4:4" x14ac:dyDescent="0.2">
      <c r="D803" s="103"/>
    </row>
    <row r="804" spans="4:4" x14ac:dyDescent="0.2">
      <c r="D804" s="103"/>
    </row>
    <row r="805" spans="4:4" x14ac:dyDescent="0.2">
      <c r="D805" s="103"/>
    </row>
    <row r="806" spans="4:4" x14ac:dyDescent="0.2">
      <c r="D806" s="103"/>
    </row>
    <row r="807" spans="4:4" x14ac:dyDescent="0.2">
      <c r="D807" s="103"/>
    </row>
    <row r="808" spans="4:4" x14ac:dyDescent="0.2">
      <c r="D808" s="103"/>
    </row>
    <row r="809" spans="4:4" x14ac:dyDescent="0.2">
      <c r="D809" s="103"/>
    </row>
    <row r="810" spans="4:4" x14ac:dyDescent="0.2">
      <c r="D810" s="103"/>
    </row>
    <row r="811" spans="4:4" x14ac:dyDescent="0.2">
      <c r="D811" s="103"/>
    </row>
    <row r="812" spans="4:4" x14ac:dyDescent="0.2">
      <c r="D812" s="103"/>
    </row>
    <row r="813" spans="4:4" x14ac:dyDescent="0.2">
      <c r="D813" s="103"/>
    </row>
    <row r="814" spans="4:4" x14ac:dyDescent="0.2">
      <c r="D814" s="103"/>
    </row>
    <row r="815" spans="4:4" x14ac:dyDescent="0.2">
      <c r="D815" s="103"/>
    </row>
    <row r="816" spans="4:4" x14ac:dyDescent="0.2">
      <c r="D816" s="103"/>
    </row>
    <row r="817" spans="4:4" x14ac:dyDescent="0.2">
      <c r="D817" s="103"/>
    </row>
    <row r="818" spans="4:4" x14ac:dyDescent="0.2">
      <c r="D818" s="103"/>
    </row>
    <row r="819" spans="4:4" x14ac:dyDescent="0.2">
      <c r="D819" s="103"/>
    </row>
    <row r="820" spans="4:4" x14ac:dyDescent="0.2">
      <c r="D820" s="103"/>
    </row>
    <row r="821" spans="4:4" x14ac:dyDescent="0.2">
      <c r="D821" s="103"/>
    </row>
    <row r="822" spans="4:4" x14ac:dyDescent="0.2">
      <c r="D822" s="103"/>
    </row>
    <row r="823" spans="4:4" x14ac:dyDescent="0.2">
      <c r="D823" s="103"/>
    </row>
    <row r="824" spans="4:4" x14ac:dyDescent="0.2">
      <c r="D824" s="103"/>
    </row>
    <row r="825" spans="4:4" x14ac:dyDescent="0.2">
      <c r="D825" s="103"/>
    </row>
    <row r="826" spans="4:4" x14ac:dyDescent="0.2">
      <c r="D826" s="103"/>
    </row>
    <row r="827" spans="4:4" x14ac:dyDescent="0.2">
      <c r="D827" s="103"/>
    </row>
    <row r="828" spans="4:4" x14ac:dyDescent="0.2">
      <c r="D828" s="103"/>
    </row>
    <row r="829" spans="4:4" x14ac:dyDescent="0.2">
      <c r="D829" s="103"/>
    </row>
    <row r="830" spans="4:4" x14ac:dyDescent="0.2">
      <c r="D830" s="103"/>
    </row>
    <row r="831" spans="4:4" x14ac:dyDescent="0.2">
      <c r="D831" s="103"/>
    </row>
    <row r="832" spans="4:4" x14ac:dyDescent="0.2">
      <c r="D832" s="103"/>
    </row>
    <row r="833" spans="4:4" x14ac:dyDescent="0.2">
      <c r="D833" s="103"/>
    </row>
    <row r="834" spans="4:4" x14ac:dyDescent="0.2">
      <c r="D834" s="103"/>
    </row>
    <row r="835" spans="4:4" x14ac:dyDescent="0.2">
      <c r="D835" s="103"/>
    </row>
    <row r="836" spans="4:4" x14ac:dyDescent="0.2">
      <c r="D836" s="103"/>
    </row>
    <row r="837" spans="4:4" x14ac:dyDescent="0.2">
      <c r="D837" s="103"/>
    </row>
    <row r="838" spans="4:4" x14ac:dyDescent="0.2">
      <c r="D838" s="103"/>
    </row>
    <row r="839" spans="4:4" x14ac:dyDescent="0.2">
      <c r="D839" s="103"/>
    </row>
    <row r="840" spans="4:4" x14ac:dyDescent="0.2">
      <c r="D840" s="103"/>
    </row>
    <row r="841" spans="4:4" x14ac:dyDescent="0.2">
      <c r="D841" s="103"/>
    </row>
    <row r="842" spans="4:4" x14ac:dyDescent="0.2">
      <c r="D842" s="103"/>
    </row>
    <row r="843" spans="4:4" x14ac:dyDescent="0.2">
      <c r="D843" s="103"/>
    </row>
    <row r="844" spans="4:4" x14ac:dyDescent="0.2">
      <c r="D844" s="103"/>
    </row>
    <row r="845" spans="4:4" x14ac:dyDescent="0.2">
      <c r="D845" s="103"/>
    </row>
    <row r="846" spans="4:4" x14ac:dyDescent="0.2">
      <c r="D846" s="103"/>
    </row>
    <row r="847" spans="4:4" x14ac:dyDescent="0.2">
      <c r="D847" s="103"/>
    </row>
    <row r="848" spans="4:4" x14ac:dyDescent="0.2">
      <c r="D848" s="103"/>
    </row>
    <row r="849" spans="4:4" x14ac:dyDescent="0.2">
      <c r="D849" s="103"/>
    </row>
    <row r="850" spans="4:4" x14ac:dyDescent="0.2">
      <c r="D850" s="103"/>
    </row>
    <row r="851" spans="4:4" x14ac:dyDescent="0.2">
      <c r="D851" s="103"/>
    </row>
    <row r="852" spans="4:4" x14ac:dyDescent="0.2">
      <c r="D852" s="103"/>
    </row>
    <row r="853" spans="4:4" x14ac:dyDescent="0.2">
      <c r="D853" s="103"/>
    </row>
    <row r="854" spans="4:4" x14ac:dyDescent="0.2">
      <c r="D854" s="103"/>
    </row>
    <row r="855" spans="4:4" x14ac:dyDescent="0.2">
      <c r="D855"/>
    </row>
    <row r="856" spans="4:4" x14ac:dyDescent="0.2">
      <c r="D856"/>
    </row>
    <row r="857" spans="4:4" x14ac:dyDescent="0.2">
      <c r="D857"/>
    </row>
    <row r="858" spans="4:4" x14ac:dyDescent="0.2">
      <c r="D858"/>
    </row>
    <row r="859" spans="4:4" x14ac:dyDescent="0.2">
      <c r="D859"/>
    </row>
    <row r="860" spans="4:4" x14ac:dyDescent="0.2">
      <c r="D860"/>
    </row>
    <row r="861" spans="4:4" x14ac:dyDescent="0.2">
      <c r="D861"/>
    </row>
    <row r="862" spans="4:4" x14ac:dyDescent="0.2">
      <c r="D862"/>
    </row>
    <row r="863" spans="4:4" x14ac:dyDescent="0.2">
      <c r="D863"/>
    </row>
    <row r="864" spans="4:4" x14ac:dyDescent="0.2">
      <c r="D864"/>
    </row>
    <row r="865" spans="4:4" x14ac:dyDescent="0.2">
      <c r="D865"/>
    </row>
    <row r="866" spans="4:4" x14ac:dyDescent="0.2">
      <c r="D866"/>
    </row>
    <row r="867" spans="4:4" x14ac:dyDescent="0.2">
      <c r="D867"/>
    </row>
    <row r="868" spans="4:4" x14ac:dyDescent="0.2">
      <c r="D868"/>
    </row>
    <row r="869" spans="4:4" x14ac:dyDescent="0.2">
      <c r="D869"/>
    </row>
    <row r="870" spans="4:4" x14ac:dyDescent="0.2">
      <c r="D870"/>
    </row>
    <row r="871" spans="4:4" x14ac:dyDescent="0.2">
      <c r="D871"/>
    </row>
    <row r="872" spans="4:4" x14ac:dyDescent="0.2">
      <c r="D872"/>
    </row>
    <row r="873" spans="4:4" x14ac:dyDescent="0.2">
      <c r="D873"/>
    </row>
    <row r="874" spans="4:4" x14ac:dyDescent="0.2">
      <c r="D874"/>
    </row>
    <row r="875" spans="4:4" x14ac:dyDescent="0.2">
      <c r="D875"/>
    </row>
    <row r="876" spans="4:4" x14ac:dyDescent="0.2">
      <c r="D876"/>
    </row>
    <row r="877" spans="4:4" x14ac:dyDescent="0.2">
      <c r="D877"/>
    </row>
    <row r="878" spans="4:4" x14ac:dyDescent="0.2">
      <c r="D878"/>
    </row>
    <row r="879" spans="4:4" x14ac:dyDescent="0.2">
      <c r="D879"/>
    </row>
    <row r="880" spans="4:4" x14ac:dyDescent="0.2">
      <c r="D880"/>
    </row>
    <row r="881" spans="4:4" x14ac:dyDescent="0.2">
      <c r="D881"/>
    </row>
    <row r="882" spans="4:4" x14ac:dyDescent="0.2">
      <c r="D882"/>
    </row>
    <row r="883" spans="4:4" x14ac:dyDescent="0.2">
      <c r="D883"/>
    </row>
    <row r="884" spans="4:4" x14ac:dyDescent="0.2">
      <c r="D884"/>
    </row>
    <row r="885" spans="4:4" x14ac:dyDescent="0.2">
      <c r="D885"/>
    </row>
    <row r="886" spans="4:4" x14ac:dyDescent="0.2">
      <c r="D886"/>
    </row>
    <row r="887" spans="4:4" x14ac:dyDescent="0.2">
      <c r="D887"/>
    </row>
    <row r="888" spans="4:4" x14ac:dyDescent="0.2">
      <c r="D888"/>
    </row>
    <row r="889" spans="4:4" x14ac:dyDescent="0.2">
      <c r="D889"/>
    </row>
    <row r="890" spans="4:4" x14ac:dyDescent="0.2">
      <c r="D890"/>
    </row>
    <row r="891" spans="4:4" x14ac:dyDescent="0.2">
      <c r="D891"/>
    </row>
    <row r="892" spans="4:4" x14ac:dyDescent="0.2">
      <c r="D892"/>
    </row>
    <row r="893" spans="4:4" x14ac:dyDescent="0.2">
      <c r="D893"/>
    </row>
    <row r="894" spans="4:4" x14ac:dyDescent="0.2">
      <c r="D894"/>
    </row>
    <row r="895" spans="4:4" x14ac:dyDescent="0.2">
      <c r="D895"/>
    </row>
    <row r="896" spans="4:4" x14ac:dyDescent="0.2">
      <c r="D896"/>
    </row>
    <row r="897" spans="4:4" x14ac:dyDescent="0.2">
      <c r="D897"/>
    </row>
    <row r="898" spans="4:4" x14ac:dyDescent="0.2">
      <c r="D898"/>
    </row>
    <row r="899" spans="4:4" x14ac:dyDescent="0.2">
      <c r="D899"/>
    </row>
    <row r="900" spans="4:4" x14ac:dyDescent="0.2">
      <c r="D900"/>
    </row>
    <row r="901" spans="4:4" x14ac:dyDescent="0.2">
      <c r="D901"/>
    </row>
    <row r="902" spans="4:4" x14ac:dyDescent="0.2">
      <c r="D902"/>
    </row>
    <row r="903" spans="4:4" x14ac:dyDescent="0.2">
      <c r="D903"/>
    </row>
    <row r="904" spans="4:4" x14ac:dyDescent="0.2">
      <c r="D904"/>
    </row>
    <row r="905" spans="4:4" x14ac:dyDescent="0.2">
      <c r="D905"/>
    </row>
    <row r="906" spans="4:4" x14ac:dyDescent="0.2">
      <c r="D906"/>
    </row>
    <row r="907" spans="4:4" x14ac:dyDescent="0.2">
      <c r="D907"/>
    </row>
    <row r="908" spans="4:4" x14ac:dyDescent="0.2">
      <c r="D908"/>
    </row>
    <row r="909" spans="4:4" x14ac:dyDescent="0.2">
      <c r="D909"/>
    </row>
    <row r="910" spans="4:4" x14ac:dyDescent="0.2">
      <c r="D910"/>
    </row>
    <row r="911" spans="4:4" x14ac:dyDescent="0.2">
      <c r="D911"/>
    </row>
    <row r="912" spans="4:4" x14ac:dyDescent="0.2">
      <c r="D912"/>
    </row>
    <row r="913" spans="4:4" x14ac:dyDescent="0.2">
      <c r="D913"/>
    </row>
    <row r="914" spans="4:4" x14ac:dyDescent="0.2">
      <c r="D914"/>
    </row>
    <row r="915" spans="4:4" x14ac:dyDescent="0.2">
      <c r="D915"/>
    </row>
    <row r="916" spans="4:4" x14ac:dyDescent="0.2">
      <c r="D916"/>
    </row>
    <row r="917" spans="4:4" x14ac:dyDescent="0.2">
      <c r="D917"/>
    </row>
    <row r="918" spans="4:4" x14ac:dyDescent="0.2">
      <c r="D918"/>
    </row>
    <row r="919" spans="4:4" x14ac:dyDescent="0.2">
      <c r="D919"/>
    </row>
    <row r="920" spans="4:4" x14ac:dyDescent="0.2">
      <c r="D920"/>
    </row>
    <row r="921" spans="4:4" x14ac:dyDescent="0.2">
      <c r="D921"/>
    </row>
    <row r="922" spans="4:4" x14ac:dyDescent="0.2">
      <c r="D922"/>
    </row>
    <row r="923" spans="4:4" x14ac:dyDescent="0.2">
      <c r="D923"/>
    </row>
    <row r="924" spans="4:4" x14ac:dyDescent="0.2">
      <c r="D924"/>
    </row>
    <row r="925" spans="4:4" x14ac:dyDescent="0.2">
      <c r="D925"/>
    </row>
    <row r="926" spans="4:4" x14ac:dyDescent="0.2">
      <c r="D926"/>
    </row>
    <row r="927" spans="4:4" x14ac:dyDescent="0.2">
      <c r="D927"/>
    </row>
    <row r="928" spans="4:4" x14ac:dyDescent="0.2">
      <c r="D928"/>
    </row>
    <row r="929" spans="4:4" x14ac:dyDescent="0.2">
      <c r="D929"/>
    </row>
    <row r="930" spans="4:4" x14ac:dyDescent="0.2">
      <c r="D930"/>
    </row>
    <row r="931" spans="4:4" x14ac:dyDescent="0.2">
      <c r="D931"/>
    </row>
    <row r="932" spans="4:4" x14ac:dyDescent="0.2">
      <c r="D932"/>
    </row>
    <row r="933" spans="4:4" x14ac:dyDescent="0.2">
      <c r="D933"/>
    </row>
    <row r="934" spans="4:4" x14ac:dyDescent="0.2">
      <c r="D934"/>
    </row>
    <row r="935" spans="4:4" x14ac:dyDescent="0.2">
      <c r="D935"/>
    </row>
    <row r="936" spans="4:4" x14ac:dyDescent="0.2">
      <c r="D936"/>
    </row>
    <row r="937" spans="4:4" x14ac:dyDescent="0.2">
      <c r="D937"/>
    </row>
    <row r="938" spans="4:4" x14ac:dyDescent="0.2">
      <c r="D938"/>
    </row>
    <row r="939" spans="4:4" x14ac:dyDescent="0.2">
      <c r="D939"/>
    </row>
    <row r="940" spans="4:4" x14ac:dyDescent="0.2">
      <c r="D940"/>
    </row>
    <row r="941" spans="4:4" x14ac:dyDescent="0.2">
      <c r="D941"/>
    </row>
    <row r="942" spans="4:4" x14ac:dyDescent="0.2">
      <c r="D942"/>
    </row>
    <row r="943" spans="4:4" x14ac:dyDescent="0.2">
      <c r="D943"/>
    </row>
    <row r="944" spans="4:4" x14ac:dyDescent="0.2">
      <c r="D944"/>
    </row>
    <row r="945" spans="4:4" x14ac:dyDescent="0.2">
      <c r="D945"/>
    </row>
    <row r="946" spans="4:4" x14ac:dyDescent="0.2">
      <c r="D946"/>
    </row>
    <row r="947" spans="4:4" x14ac:dyDescent="0.2">
      <c r="D947"/>
    </row>
    <row r="948" spans="4:4" x14ac:dyDescent="0.2">
      <c r="D948"/>
    </row>
    <row r="949" spans="4:4" x14ac:dyDescent="0.2">
      <c r="D949"/>
    </row>
    <row r="950" spans="4:4" x14ac:dyDescent="0.2">
      <c r="D950"/>
    </row>
    <row r="951" spans="4:4" x14ac:dyDescent="0.2">
      <c r="D951"/>
    </row>
    <row r="952" spans="4:4" x14ac:dyDescent="0.2">
      <c r="D952"/>
    </row>
    <row r="953" spans="4:4" x14ac:dyDescent="0.2">
      <c r="D953"/>
    </row>
    <row r="954" spans="4:4" x14ac:dyDescent="0.2">
      <c r="D954"/>
    </row>
    <row r="955" spans="4:4" x14ac:dyDescent="0.2">
      <c r="D955"/>
    </row>
    <row r="956" spans="4:4" x14ac:dyDescent="0.2">
      <c r="D956"/>
    </row>
    <row r="957" spans="4:4" x14ac:dyDescent="0.2">
      <c r="D957"/>
    </row>
    <row r="958" spans="4:4" x14ac:dyDescent="0.2">
      <c r="D958"/>
    </row>
    <row r="959" spans="4:4" x14ac:dyDescent="0.2">
      <c r="D959"/>
    </row>
    <row r="960" spans="4:4" x14ac:dyDescent="0.2">
      <c r="D960"/>
    </row>
    <row r="961" spans="4:4" x14ac:dyDescent="0.2">
      <c r="D961"/>
    </row>
    <row r="962" spans="4:4" x14ac:dyDescent="0.2">
      <c r="D962"/>
    </row>
    <row r="963" spans="4:4" x14ac:dyDescent="0.2">
      <c r="D963"/>
    </row>
    <row r="964" spans="4:4" x14ac:dyDescent="0.2">
      <c r="D964"/>
    </row>
    <row r="965" spans="4:4" x14ac:dyDescent="0.2">
      <c r="D965"/>
    </row>
    <row r="966" spans="4:4" x14ac:dyDescent="0.2">
      <c r="D966"/>
    </row>
    <row r="967" spans="4:4" x14ac:dyDescent="0.2">
      <c r="D967"/>
    </row>
    <row r="968" spans="4:4" x14ac:dyDescent="0.2">
      <c r="D968"/>
    </row>
    <row r="969" spans="4:4" x14ac:dyDescent="0.2">
      <c r="D969"/>
    </row>
    <row r="970" spans="4:4" x14ac:dyDescent="0.2">
      <c r="D970"/>
    </row>
    <row r="971" spans="4:4" x14ac:dyDescent="0.2">
      <c r="D971"/>
    </row>
    <row r="972" spans="4:4" x14ac:dyDescent="0.2">
      <c r="D972"/>
    </row>
    <row r="973" spans="4:4" x14ac:dyDescent="0.2">
      <c r="D973"/>
    </row>
    <row r="974" spans="4:4" x14ac:dyDescent="0.2">
      <c r="D974"/>
    </row>
    <row r="975" spans="4:4" x14ac:dyDescent="0.2">
      <c r="D975"/>
    </row>
    <row r="976" spans="4:4" x14ac:dyDescent="0.2">
      <c r="D976"/>
    </row>
    <row r="977" spans="4:4" x14ac:dyDescent="0.2">
      <c r="D977"/>
    </row>
    <row r="978" spans="4:4" x14ac:dyDescent="0.2">
      <c r="D978"/>
    </row>
    <row r="979" spans="4:4" x14ac:dyDescent="0.2">
      <c r="D979"/>
    </row>
    <row r="980" spans="4:4" x14ac:dyDescent="0.2">
      <c r="D980"/>
    </row>
    <row r="981" spans="4:4" x14ac:dyDescent="0.2">
      <c r="D981"/>
    </row>
    <row r="982" spans="4:4" x14ac:dyDescent="0.2">
      <c r="D982"/>
    </row>
    <row r="983" spans="4:4" x14ac:dyDescent="0.2">
      <c r="D983"/>
    </row>
    <row r="984" spans="4:4" x14ac:dyDescent="0.2">
      <c r="D984"/>
    </row>
    <row r="985" spans="4:4" x14ac:dyDescent="0.2">
      <c r="D985"/>
    </row>
    <row r="986" spans="4:4" x14ac:dyDescent="0.2">
      <c r="D986"/>
    </row>
    <row r="987" spans="4:4" x14ac:dyDescent="0.2">
      <c r="D987"/>
    </row>
    <row r="988" spans="4:4" x14ac:dyDescent="0.2">
      <c r="D988"/>
    </row>
    <row r="989" spans="4:4" x14ac:dyDescent="0.2">
      <c r="D989"/>
    </row>
    <row r="990" spans="4:4" x14ac:dyDescent="0.2">
      <c r="D990"/>
    </row>
    <row r="991" spans="4:4" x14ac:dyDescent="0.2">
      <c r="D991"/>
    </row>
    <row r="992" spans="4:4" x14ac:dyDescent="0.2">
      <c r="D992"/>
    </row>
    <row r="993" spans="4:4" x14ac:dyDescent="0.2">
      <c r="D993"/>
    </row>
    <row r="994" spans="4:4" x14ac:dyDescent="0.2">
      <c r="D994"/>
    </row>
    <row r="995" spans="4:4" x14ac:dyDescent="0.2">
      <c r="D995"/>
    </row>
    <row r="996" spans="4:4" x14ac:dyDescent="0.2">
      <c r="D996"/>
    </row>
    <row r="997" spans="4:4" x14ac:dyDescent="0.2">
      <c r="D997"/>
    </row>
    <row r="998" spans="4:4" x14ac:dyDescent="0.2">
      <c r="D998"/>
    </row>
    <row r="999" spans="4:4" x14ac:dyDescent="0.2">
      <c r="D999"/>
    </row>
    <row r="1000" spans="4:4" x14ac:dyDescent="0.2">
      <c r="D1000"/>
    </row>
    <row r="1001" spans="4:4" x14ac:dyDescent="0.2">
      <c r="D1001"/>
    </row>
    <row r="1002" spans="4:4" x14ac:dyDescent="0.2">
      <c r="D1002"/>
    </row>
    <row r="1003" spans="4:4" x14ac:dyDescent="0.2">
      <c r="D1003"/>
    </row>
    <row r="1004" spans="4:4" x14ac:dyDescent="0.2">
      <c r="D1004"/>
    </row>
    <row r="1005" spans="4:4" x14ac:dyDescent="0.2">
      <c r="D1005"/>
    </row>
    <row r="1006" spans="4:4" x14ac:dyDescent="0.2">
      <c r="D1006"/>
    </row>
    <row r="1007" spans="4:4" x14ac:dyDescent="0.2">
      <c r="D1007"/>
    </row>
    <row r="1008" spans="4:4" x14ac:dyDescent="0.2">
      <c r="D1008"/>
    </row>
    <row r="1009" spans="4:4" x14ac:dyDescent="0.2">
      <c r="D1009"/>
    </row>
    <row r="1010" spans="4:4" x14ac:dyDescent="0.2">
      <c r="D1010"/>
    </row>
    <row r="1011" spans="4:4" x14ac:dyDescent="0.2">
      <c r="D1011"/>
    </row>
    <row r="1012" spans="4:4" x14ac:dyDescent="0.2">
      <c r="D1012"/>
    </row>
    <row r="1013" spans="4:4" x14ac:dyDescent="0.2">
      <c r="D1013"/>
    </row>
    <row r="1014" spans="4:4" x14ac:dyDescent="0.2">
      <c r="D1014"/>
    </row>
    <row r="1015" spans="4:4" x14ac:dyDescent="0.2">
      <c r="D1015"/>
    </row>
    <row r="1016" spans="4:4" x14ac:dyDescent="0.2">
      <c r="D1016"/>
    </row>
    <row r="1017" spans="4:4" x14ac:dyDescent="0.2">
      <c r="D1017"/>
    </row>
    <row r="1018" spans="4:4" x14ac:dyDescent="0.2">
      <c r="D1018"/>
    </row>
    <row r="1019" spans="4:4" x14ac:dyDescent="0.2">
      <c r="D1019"/>
    </row>
    <row r="1020" spans="4:4" x14ac:dyDescent="0.2">
      <c r="D1020"/>
    </row>
    <row r="1021" spans="4:4" x14ac:dyDescent="0.2">
      <c r="D1021"/>
    </row>
    <row r="1022" spans="4:4" x14ac:dyDescent="0.2">
      <c r="D1022"/>
    </row>
    <row r="1023" spans="4:4" x14ac:dyDescent="0.2">
      <c r="D1023"/>
    </row>
    <row r="1024" spans="4:4" x14ac:dyDescent="0.2">
      <c r="D1024"/>
    </row>
    <row r="1025" spans="4:4" x14ac:dyDescent="0.2">
      <c r="D1025"/>
    </row>
    <row r="1026" spans="4:4" x14ac:dyDescent="0.2">
      <c r="D1026"/>
    </row>
    <row r="1027" spans="4:4" x14ac:dyDescent="0.2">
      <c r="D1027"/>
    </row>
    <row r="1028" spans="4:4" x14ac:dyDescent="0.2">
      <c r="D1028"/>
    </row>
    <row r="1029" spans="4:4" x14ac:dyDescent="0.2">
      <c r="D1029"/>
    </row>
    <row r="1030" spans="4:4" x14ac:dyDescent="0.2">
      <c r="D1030"/>
    </row>
    <row r="1031" spans="4:4" x14ac:dyDescent="0.2">
      <c r="D1031"/>
    </row>
    <row r="1032" spans="4:4" x14ac:dyDescent="0.2">
      <c r="D1032"/>
    </row>
    <row r="1033" spans="4:4" x14ac:dyDescent="0.2">
      <c r="D1033"/>
    </row>
    <row r="1034" spans="4:4" x14ac:dyDescent="0.2">
      <c r="D1034"/>
    </row>
    <row r="1035" spans="4:4" x14ac:dyDescent="0.2">
      <c r="D1035"/>
    </row>
    <row r="1036" spans="4:4" x14ac:dyDescent="0.2">
      <c r="D1036"/>
    </row>
    <row r="1037" spans="4:4" x14ac:dyDescent="0.2">
      <c r="D1037"/>
    </row>
    <row r="1038" spans="4:4" x14ac:dyDescent="0.2">
      <c r="D1038"/>
    </row>
    <row r="1039" spans="4:4" x14ac:dyDescent="0.2">
      <c r="D1039"/>
    </row>
    <row r="1040" spans="4:4" x14ac:dyDescent="0.2">
      <c r="D1040"/>
    </row>
    <row r="1041" spans="4:4" x14ac:dyDescent="0.2">
      <c r="D1041"/>
    </row>
    <row r="1042" spans="4:4" x14ac:dyDescent="0.2">
      <c r="D1042"/>
    </row>
    <row r="1043" spans="4:4" x14ac:dyDescent="0.2">
      <c r="D1043"/>
    </row>
    <row r="1044" spans="4:4" x14ac:dyDescent="0.2">
      <c r="D1044"/>
    </row>
    <row r="1045" spans="4:4" x14ac:dyDescent="0.2">
      <c r="D1045"/>
    </row>
    <row r="1046" spans="4:4" x14ac:dyDescent="0.2">
      <c r="D1046"/>
    </row>
    <row r="1047" spans="4:4" x14ac:dyDescent="0.2">
      <c r="D1047"/>
    </row>
    <row r="1048" spans="4:4" x14ac:dyDescent="0.2">
      <c r="D1048"/>
    </row>
    <row r="1049" spans="4:4" x14ac:dyDescent="0.2">
      <c r="D1049"/>
    </row>
    <row r="1050" spans="4:4" x14ac:dyDescent="0.2">
      <c r="D1050"/>
    </row>
    <row r="1051" spans="4:4" x14ac:dyDescent="0.2">
      <c r="D1051"/>
    </row>
    <row r="1052" spans="4:4" x14ac:dyDescent="0.2">
      <c r="D1052"/>
    </row>
    <row r="1053" spans="4:4" x14ac:dyDescent="0.2">
      <c r="D1053"/>
    </row>
    <row r="1054" spans="4:4" x14ac:dyDescent="0.2">
      <c r="D1054"/>
    </row>
    <row r="1055" spans="4:4" x14ac:dyDescent="0.2">
      <c r="D1055"/>
    </row>
    <row r="1056" spans="4:4" x14ac:dyDescent="0.2">
      <c r="D1056"/>
    </row>
    <row r="1057" spans="4:4" x14ac:dyDescent="0.2">
      <c r="D1057"/>
    </row>
    <row r="1058" spans="4:4" x14ac:dyDescent="0.2">
      <c r="D1058"/>
    </row>
    <row r="1059" spans="4:4" x14ac:dyDescent="0.2">
      <c r="D1059"/>
    </row>
    <row r="1060" spans="4:4" x14ac:dyDescent="0.2">
      <c r="D1060"/>
    </row>
    <row r="1061" spans="4:4" x14ac:dyDescent="0.2">
      <c r="D1061"/>
    </row>
    <row r="1062" spans="4:4" x14ac:dyDescent="0.2">
      <c r="D1062"/>
    </row>
    <row r="1063" spans="4:4" x14ac:dyDescent="0.2">
      <c r="D1063"/>
    </row>
    <row r="1064" spans="4:4" x14ac:dyDescent="0.2">
      <c r="D1064"/>
    </row>
    <row r="1065" spans="4:4" x14ac:dyDescent="0.2">
      <c r="D1065"/>
    </row>
    <row r="1066" spans="4:4" x14ac:dyDescent="0.2">
      <c r="D1066"/>
    </row>
    <row r="1067" spans="4:4" x14ac:dyDescent="0.2">
      <c r="D1067"/>
    </row>
    <row r="1068" spans="4:4" x14ac:dyDescent="0.2">
      <c r="D1068"/>
    </row>
    <row r="1069" spans="4:4" x14ac:dyDescent="0.2">
      <c r="D1069"/>
    </row>
    <row r="1070" spans="4:4" x14ac:dyDescent="0.2">
      <c r="D1070"/>
    </row>
    <row r="1071" spans="4:4" x14ac:dyDescent="0.2">
      <c r="D1071"/>
    </row>
    <row r="1072" spans="4:4" x14ac:dyDescent="0.2">
      <c r="D1072"/>
    </row>
    <row r="1073" spans="4:4" x14ac:dyDescent="0.2">
      <c r="D1073"/>
    </row>
    <row r="1074" spans="4:4" x14ac:dyDescent="0.2">
      <c r="D1074"/>
    </row>
    <row r="1075" spans="4:4" x14ac:dyDescent="0.2">
      <c r="D1075"/>
    </row>
    <row r="1076" spans="4:4" x14ac:dyDescent="0.2">
      <c r="D1076"/>
    </row>
    <row r="1077" spans="4:4" x14ac:dyDescent="0.2">
      <c r="D1077"/>
    </row>
    <row r="1078" spans="4:4" x14ac:dyDescent="0.2">
      <c r="D1078"/>
    </row>
    <row r="1079" spans="4:4" x14ac:dyDescent="0.2">
      <c r="D1079"/>
    </row>
    <row r="1080" spans="4:4" x14ac:dyDescent="0.2">
      <c r="D1080"/>
    </row>
    <row r="1081" spans="4:4" x14ac:dyDescent="0.2">
      <c r="D1081"/>
    </row>
    <row r="1082" spans="4:4" x14ac:dyDescent="0.2">
      <c r="D1082"/>
    </row>
    <row r="1083" spans="4:4" x14ac:dyDescent="0.2">
      <c r="D1083"/>
    </row>
    <row r="1084" spans="4:4" x14ac:dyDescent="0.2">
      <c r="D1084"/>
    </row>
    <row r="1085" spans="4:4" x14ac:dyDescent="0.2">
      <c r="D1085"/>
    </row>
    <row r="1086" spans="4:4" x14ac:dyDescent="0.2">
      <c r="D1086"/>
    </row>
    <row r="1087" spans="4:4" x14ac:dyDescent="0.2">
      <c r="D1087"/>
    </row>
    <row r="1088" spans="4:4" x14ac:dyDescent="0.2">
      <c r="D1088"/>
    </row>
    <row r="1089" spans="4:4" x14ac:dyDescent="0.2">
      <c r="D1089"/>
    </row>
    <row r="1090" spans="4:4" x14ac:dyDescent="0.2">
      <c r="D1090"/>
    </row>
    <row r="1091" spans="4:4" x14ac:dyDescent="0.2">
      <c r="D1091"/>
    </row>
    <row r="1092" spans="4:4" x14ac:dyDescent="0.2">
      <c r="D1092"/>
    </row>
    <row r="1093" spans="4:4" x14ac:dyDescent="0.2">
      <c r="D1093"/>
    </row>
    <row r="1094" spans="4:4" x14ac:dyDescent="0.2">
      <c r="D1094"/>
    </row>
    <row r="1095" spans="4:4" x14ac:dyDescent="0.2">
      <c r="D1095"/>
    </row>
    <row r="1096" spans="4:4" x14ac:dyDescent="0.2">
      <c r="D1096"/>
    </row>
    <row r="1097" spans="4:4" x14ac:dyDescent="0.2">
      <c r="D1097"/>
    </row>
    <row r="1098" spans="4:4" x14ac:dyDescent="0.2">
      <c r="D1098"/>
    </row>
    <row r="1099" spans="4:4" x14ac:dyDescent="0.2">
      <c r="D1099"/>
    </row>
    <row r="1100" spans="4:4" x14ac:dyDescent="0.2">
      <c r="D1100"/>
    </row>
    <row r="1101" spans="4:4" x14ac:dyDescent="0.2">
      <c r="D1101"/>
    </row>
    <row r="1102" spans="4:4" x14ac:dyDescent="0.2">
      <c r="D1102"/>
    </row>
    <row r="1103" spans="4:4" x14ac:dyDescent="0.2">
      <c r="D1103"/>
    </row>
    <row r="1104" spans="4:4" x14ac:dyDescent="0.2">
      <c r="D1104"/>
    </row>
    <row r="1105" spans="4:4" x14ac:dyDescent="0.2">
      <c r="D1105"/>
    </row>
    <row r="1106" spans="4:4" x14ac:dyDescent="0.2">
      <c r="D1106"/>
    </row>
    <row r="1107" spans="4:4" x14ac:dyDescent="0.2">
      <c r="D1107"/>
    </row>
    <row r="1108" spans="4:4" x14ac:dyDescent="0.2">
      <c r="D1108"/>
    </row>
    <row r="1109" spans="4:4" x14ac:dyDescent="0.2">
      <c r="D1109"/>
    </row>
    <row r="1110" spans="4:4" x14ac:dyDescent="0.2">
      <c r="D1110"/>
    </row>
    <row r="1111" spans="4:4" x14ac:dyDescent="0.2">
      <c r="D1111"/>
    </row>
    <row r="1112" spans="4:4" x14ac:dyDescent="0.2">
      <c r="D1112"/>
    </row>
    <row r="1113" spans="4:4" x14ac:dyDescent="0.2">
      <c r="D1113"/>
    </row>
    <row r="1114" spans="4:4" x14ac:dyDescent="0.2">
      <c r="D1114"/>
    </row>
    <row r="1115" spans="4:4" x14ac:dyDescent="0.2">
      <c r="D1115"/>
    </row>
    <row r="1116" spans="4:4" x14ac:dyDescent="0.2">
      <c r="D1116"/>
    </row>
    <row r="1117" spans="4:4" x14ac:dyDescent="0.2">
      <c r="D1117"/>
    </row>
    <row r="1118" spans="4:4" x14ac:dyDescent="0.2">
      <c r="D1118"/>
    </row>
    <row r="1119" spans="4:4" x14ac:dyDescent="0.2">
      <c r="D1119"/>
    </row>
    <row r="1120" spans="4:4" x14ac:dyDescent="0.2">
      <c r="D1120"/>
    </row>
    <row r="1121" spans="4:4" x14ac:dyDescent="0.2">
      <c r="D1121"/>
    </row>
    <row r="1122" spans="4:4" x14ac:dyDescent="0.2">
      <c r="D1122"/>
    </row>
    <row r="1123" spans="4:4" x14ac:dyDescent="0.2">
      <c r="D1123"/>
    </row>
    <row r="1124" spans="4:4" x14ac:dyDescent="0.2">
      <c r="D1124"/>
    </row>
    <row r="1125" spans="4:4" x14ac:dyDescent="0.2">
      <c r="D1125"/>
    </row>
    <row r="1126" spans="4:4" x14ac:dyDescent="0.2">
      <c r="D1126"/>
    </row>
    <row r="1127" spans="4:4" x14ac:dyDescent="0.2">
      <c r="D1127"/>
    </row>
    <row r="1128" spans="4:4" x14ac:dyDescent="0.2">
      <c r="D1128"/>
    </row>
    <row r="1129" spans="4:4" x14ac:dyDescent="0.2">
      <c r="D1129"/>
    </row>
    <row r="1130" spans="4:4" x14ac:dyDescent="0.2">
      <c r="D1130"/>
    </row>
    <row r="1131" spans="4:4" x14ac:dyDescent="0.2">
      <c r="D1131"/>
    </row>
    <row r="1132" spans="4:4" x14ac:dyDescent="0.2">
      <c r="D1132"/>
    </row>
    <row r="1133" spans="4:4" x14ac:dyDescent="0.2">
      <c r="D1133"/>
    </row>
    <row r="1134" spans="4:4" x14ac:dyDescent="0.2">
      <c r="D1134"/>
    </row>
    <row r="1135" spans="4:4" x14ac:dyDescent="0.2">
      <c r="D1135"/>
    </row>
    <row r="1136" spans="4:4" x14ac:dyDescent="0.2">
      <c r="D1136"/>
    </row>
    <row r="1137" spans="4:4" x14ac:dyDescent="0.2">
      <c r="D1137"/>
    </row>
    <row r="1138" spans="4:4" x14ac:dyDescent="0.2">
      <c r="D1138"/>
    </row>
    <row r="1139" spans="4:4" x14ac:dyDescent="0.2">
      <c r="D1139"/>
    </row>
    <row r="1140" spans="4:4" x14ac:dyDescent="0.2">
      <c r="D1140"/>
    </row>
    <row r="1141" spans="4:4" x14ac:dyDescent="0.2">
      <c r="D1141"/>
    </row>
    <row r="1142" spans="4:4" x14ac:dyDescent="0.2">
      <c r="D1142"/>
    </row>
    <row r="1143" spans="4:4" x14ac:dyDescent="0.2">
      <c r="D1143"/>
    </row>
    <row r="1144" spans="4:4" x14ac:dyDescent="0.2">
      <c r="D1144"/>
    </row>
    <row r="1145" spans="4:4" x14ac:dyDescent="0.2">
      <c r="D1145"/>
    </row>
    <row r="1146" spans="4:4" x14ac:dyDescent="0.2">
      <c r="D1146"/>
    </row>
    <row r="1147" spans="4:4" x14ac:dyDescent="0.2">
      <c r="D1147"/>
    </row>
    <row r="1148" spans="4:4" x14ac:dyDescent="0.2">
      <c r="D1148"/>
    </row>
    <row r="1149" spans="4:4" x14ac:dyDescent="0.2">
      <c r="D1149"/>
    </row>
    <row r="1150" spans="4:4" x14ac:dyDescent="0.2">
      <c r="D1150"/>
    </row>
    <row r="1151" spans="4:4" x14ac:dyDescent="0.2">
      <c r="D1151"/>
    </row>
    <row r="1152" spans="4:4" x14ac:dyDescent="0.2">
      <c r="D1152"/>
    </row>
    <row r="1153" spans="4:4" x14ac:dyDescent="0.2">
      <c r="D1153"/>
    </row>
    <row r="1154" spans="4:4" x14ac:dyDescent="0.2">
      <c r="D1154"/>
    </row>
    <row r="1155" spans="4:4" x14ac:dyDescent="0.2">
      <c r="D1155"/>
    </row>
    <row r="1156" spans="4:4" x14ac:dyDescent="0.2">
      <c r="D1156"/>
    </row>
    <row r="1157" spans="4:4" x14ac:dyDescent="0.2">
      <c r="D1157"/>
    </row>
    <row r="1158" spans="4:4" x14ac:dyDescent="0.2">
      <c r="D1158"/>
    </row>
    <row r="1159" spans="4:4" x14ac:dyDescent="0.2">
      <c r="D1159"/>
    </row>
    <row r="1160" spans="4:4" x14ac:dyDescent="0.2">
      <c r="D1160"/>
    </row>
    <row r="1161" spans="4:4" x14ac:dyDescent="0.2">
      <c r="D1161"/>
    </row>
    <row r="1162" spans="4:4" x14ac:dyDescent="0.2">
      <c r="D1162"/>
    </row>
    <row r="1163" spans="4:4" x14ac:dyDescent="0.2">
      <c r="D1163"/>
    </row>
    <row r="1164" spans="4:4" x14ac:dyDescent="0.2">
      <c r="D1164"/>
    </row>
    <row r="1165" spans="4:4" x14ac:dyDescent="0.2">
      <c r="D1165"/>
    </row>
    <row r="1166" spans="4:4" x14ac:dyDescent="0.2">
      <c r="D1166"/>
    </row>
    <row r="1167" spans="4:4" x14ac:dyDescent="0.2">
      <c r="D1167"/>
    </row>
    <row r="1168" spans="4:4" x14ac:dyDescent="0.2">
      <c r="D1168"/>
    </row>
    <row r="1169" spans="4:4" x14ac:dyDescent="0.2">
      <c r="D1169"/>
    </row>
    <row r="1170" spans="4:4" x14ac:dyDescent="0.2">
      <c r="D1170"/>
    </row>
    <row r="1171" spans="4:4" x14ac:dyDescent="0.2">
      <c r="D1171"/>
    </row>
    <row r="1172" spans="4:4" x14ac:dyDescent="0.2">
      <c r="D1172"/>
    </row>
    <row r="1173" spans="4:4" x14ac:dyDescent="0.2">
      <c r="D1173"/>
    </row>
    <row r="1174" spans="4:4" x14ac:dyDescent="0.2">
      <c r="D1174"/>
    </row>
    <row r="1175" spans="4:4" x14ac:dyDescent="0.2">
      <c r="D1175"/>
    </row>
    <row r="1176" spans="4:4" x14ac:dyDescent="0.2">
      <c r="D1176"/>
    </row>
    <row r="1177" spans="4:4" x14ac:dyDescent="0.2">
      <c r="D1177"/>
    </row>
    <row r="1178" spans="4:4" x14ac:dyDescent="0.2">
      <c r="D1178"/>
    </row>
    <row r="1179" spans="4:4" x14ac:dyDescent="0.2">
      <c r="D1179"/>
    </row>
    <row r="1180" spans="4:4" x14ac:dyDescent="0.2">
      <c r="D1180"/>
    </row>
    <row r="1181" spans="4:4" x14ac:dyDescent="0.2">
      <c r="D1181"/>
    </row>
    <row r="1182" spans="4:4" x14ac:dyDescent="0.2">
      <c r="D1182"/>
    </row>
    <row r="1183" spans="4:4" x14ac:dyDescent="0.2">
      <c r="D1183"/>
    </row>
    <row r="1184" spans="4:4" x14ac:dyDescent="0.2">
      <c r="D1184"/>
    </row>
    <row r="1185" spans="4:4" x14ac:dyDescent="0.2">
      <c r="D1185"/>
    </row>
    <row r="1186" spans="4:4" x14ac:dyDescent="0.2">
      <c r="D1186"/>
    </row>
    <row r="1187" spans="4:4" x14ac:dyDescent="0.2">
      <c r="D1187"/>
    </row>
    <row r="1188" spans="4:4" x14ac:dyDescent="0.2">
      <c r="D1188"/>
    </row>
    <row r="1189" spans="4:4" x14ac:dyDescent="0.2">
      <c r="D1189"/>
    </row>
    <row r="1190" spans="4:4" x14ac:dyDescent="0.2">
      <c r="D1190"/>
    </row>
    <row r="1191" spans="4:4" x14ac:dyDescent="0.2">
      <c r="D1191"/>
    </row>
    <row r="1192" spans="4:4" x14ac:dyDescent="0.2">
      <c r="D1192"/>
    </row>
    <row r="1193" spans="4:4" x14ac:dyDescent="0.2">
      <c r="D1193"/>
    </row>
    <row r="1194" spans="4:4" x14ac:dyDescent="0.2">
      <c r="D1194"/>
    </row>
    <row r="1195" spans="4:4" x14ac:dyDescent="0.2">
      <c r="D1195"/>
    </row>
    <row r="1196" spans="4:4" x14ac:dyDescent="0.2">
      <c r="D1196"/>
    </row>
    <row r="1197" spans="4:4" x14ac:dyDescent="0.2">
      <c r="D1197"/>
    </row>
    <row r="1198" spans="4:4" x14ac:dyDescent="0.2">
      <c r="D1198"/>
    </row>
    <row r="1199" spans="4:4" x14ac:dyDescent="0.2">
      <c r="D1199"/>
    </row>
    <row r="1200" spans="4:4" x14ac:dyDescent="0.2">
      <c r="D1200"/>
    </row>
    <row r="1201" spans="4:4" x14ac:dyDescent="0.2">
      <c r="D1201"/>
    </row>
    <row r="1202" spans="4:4" x14ac:dyDescent="0.2">
      <c r="D1202"/>
    </row>
    <row r="1203" spans="4:4" x14ac:dyDescent="0.2">
      <c r="D1203"/>
    </row>
    <row r="1204" spans="4:4" x14ac:dyDescent="0.2">
      <c r="D1204"/>
    </row>
    <row r="1205" spans="4:4" x14ac:dyDescent="0.2">
      <c r="D1205"/>
    </row>
    <row r="1206" spans="4:4" x14ac:dyDescent="0.2">
      <c r="D1206"/>
    </row>
    <row r="1207" spans="4:4" x14ac:dyDescent="0.2">
      <c r="D1207"/>
    </row>
    <row r="1208" spans="4:4" x14ac:dyDescent="0.2">
      <c r="D1208"/>
    </row>
    <row r="1209" spans="4:4" x14ac:dyDescent="0.2">
      <c r="D1209"/>
    </row>
    <row r="1210" spans="4:4" x14ac:dyDescent="0.2">
      <c r="D1210"/>
    </row>
    <row r="1211" spans="4:4" x14ac:dyDescent="0.2">
      <c r="D1211"/>
    </row>
    <row r="1212" spans="4:4" x14ac:dyDescent="0.2">
      <c r="D1212"/>
    </row>
    <row r="1213" spans="4:4" x14ac:dyDescent="0.2">
      <c r="D1213"/>
    </row>
    <row r="1214" spans="4:4" x14ac:dyDescent="0.2">
      <c r="D1214"/>
    </row>
    <row r="1215" spans="4:4" x14ac:dyDescent="0.2">
      <c r="D1215"/>
    </row>
    <row r="1216" spans="4:4" x14ac:dyDescent="0.2">
      <c r="D1216"/>
    </row>
    <row r="1217" spans="4:4" x14ac:dyDescent="0.2">
      <c r="D1217"/>
    </row>
    <row r="1218" spans="4:4" x14ac:dyDescent="0.2">
      <c r="D1218"/>
    </row>
    <row r="1219" spans="4:4" x14ac:dyDescent="0.2">
      <c r="D1219"/>
    </row>
    <row r="1220" spans="4:4" x14ac:dyDescent="0.2">
      <c r="D1220"/>
    </row>
    <row r="1221" spans="4:4" x14ac:dyDescent="0.2">
      <c r="D1221"/>
    </row>
    <row r="1222" spans="4:4" x14ac:dyDescent="0.2">
      <c r="D1222"/>
    </row>
    <row r="1223" spans="4:4" x14ac:dyDescent="0.2">
      <c r="D1223"/>
    </row>
    <row r="1224" spans="4:4" x14ac:dyDescent="0.2">
      <c r="D1224"/>
    </row>
    <row r="1225" spans="4:4" x14ac:dyDescent="0.2">
      <c r="D1225"/>
    </row>
    <row r="1226" spans="4:4" x14ac:dyDescent="0.2">
      <c r="D1226"/>
    </row>
    <row r="1227" spans="4:4" x14ac:dyDescent="0.2">
      <c r="D1227"/>
    </row>
    <row r="1228" spans="4:4" x14ac:dyDescent="0.2">
      <c r="D1228"/>
    </row>
    <row r="1229" spans="4:4" x14ac:dyDescent="0.2">
      <c r="D1229"/>
    </row>
    <row r="1230" spans="4:4" x14ac:dyDescent="0.2">
      <c r="D1230"/>
    </row>
    <row r="1231" spans="4:4" x14ac:dyDescent="0.2">
      <c r="D1231"/>
    </row>
    <row r="1232" spans="4:4" x14ac:dyDescent="0.2">
      <c r="D1232"/>
    </row>
    <row r="1233" spans="4:4" x14ac:dyDescent="0.2">
      <c r="D1233"/>
    </row>
    <row r="1234" spans="4:4" x14ac:dyDescent="0.2">
      <c r="D1234"/>
    </row>
    <row r="1235" spans="4:4" x14ac:dyDescent="0.2">
      <c r="D1235"/>
    </row>
    <row r="1236" spans="4:4" x14ac:dyDescent="0.2">
      <c r="D1236"/>
    </row>
    <row r="1237" spans="4:4" x14ac:dyDescent="0.2">
      <c r="D1237"/>
    </row>
    <row r="1238" spans="4:4" x14ac:dyDescent="0.2">
      <c r="D1238"/>
    </row>
    <row r="1239" spans="4:4" x14ac:dyDescent="0.2">
      <c r="D1239"/>
    </row>
    <row r="1240" spans="4:4" x14ac:dyDescent="0.2">
      <c r="D1240"/>
    </row>
    <row r="1241" spans="4:4" x14ac:dyDescent="0.2">
      <c r="D1241"/>
    </row>
    <row r="1242" spans="4:4" x14ac:dyDescent="0.2">
      <c r="D1242"/>
    </row>
    <row r="1243" spans="4:4" x14ac:dyDescent="0.2">
      <c r="D1243"/>
    </row>
    <row r="1244" spans="4:4" x14ac:dyDescent="0.2">
      <c r="D1244"/>
    </row>
    <row r="1245" spans="4:4" x14ac:dyDescent="0.2">
      <c r="D1245"/>
    </row>
    <row r="1246" spans="4:4" x14ac:dyDescent="0.2">
      <c r="D1246"/>
    </row>
    <row r="1247" spans="4:4" x14ac:dyDescent="0.2">
      <c r="D1247"/>
    </row>
    <row r="1248" spans="4:4" x14ac:dyDescent="0.2">
      <c r="D1248"/>
    </row>
    <row r="1249" spans="4:4" x14ac:dyDescent="0.2">
      <c r="D1249"/>
    </row>
    <row r="1250" spans="4:4" x14ac:dyDescent="0.2">
      <c r="D1250"/>
    </row>
    <row r="1251" spans="4:4" x14ac:dyDescent="0.2">
      <c r="D1251"/>
    </row>
    <row r="1252" spans="4:4" x14ac:dyDescent="0.2">
      <c r="D1252"/>
    </row>
    <row r="1253" spans="4:4" x14ac:dyDescent="0.2">
      <c r="D1253"/>
    </row>
    <row r="1254" spans="4:4" x14ac:dyDescent="0.2">
      <c r="D1254"/>
    </row>
    <row r="1255" spans="4:4" x14ac:dyDescent="0.2">
      <c r="D1255"/>
    </row>
    <row r="1256" spans="4:4" x14ac:dyDescent="0.2">
      <c r="D1256"/>
    </row>
    <row r="1257" spans="4:4" x14ac:dyDescent="0.2">
      <c r="D1257"/>
    </row>
    <row r="1258" spans="4:4" x14ac:dyDescent="0.2">
      <c r="D1258"/>
    </row>
    <row r="1259" spans="4:4" x14ac:dyDescent="0.2">
      <c r="D1259"/>
    </row>
    <row r="1260" spans="4:4" x14ac:dyDescent="0.2">
      <c r="D1260"/>
    </row>
    <row r="1261" spans="4:4" x14ac:dyDescent="0.2">
      <c r="D1261"/>
    </row>
    <row r="1262" spans="4:4" x14ac:dyDescent="0.2">
      <c r="D1262"/>
    </row>
    <row r="1263" spans="4:4" x14ac:dyDescent="0.2">
      <c r="D1263"/>
    </row>
    <row r="1264" spans="4:4" x14ac:dyDescent="0.2">
      <c r="D1264"/>
    </row>
    <row r="1265" spans="4:4" x14ac:dyDescent="0.2">
      <c r="D1265"/>
    </row>
    <row r="1266" spans="4:4" x14ac:dyDescent="0.2">
      <c r="D1266"/>
    </row>
    <row r="1267" spans="4:4" x14ac:dyDescent="0.2">
      <c r="D1267"/>
    </row>
    <row r="1268" spans="4:4" x14ac:dyDescent="0.2">
      <c r="D1268"/>
    </row>
    <row r="1269" spans="4:4" x14ac:dyDescent="0.2">
      <c r="D1269"/>
    </row>
    <row r="1270" spans="4:4" x14ac:dyDescent="0.2">
      <c r="D1270"/>
    </row>
    <row r="1271" spans="4:4" x14ac:dyDescent="0.2">
      <c r="D1271"/>
    </row>
    <row r="1272" spans="4:4" x14ac:dyDescent="0.2">
      <c r="D1272"/>
    </row>
    <row r="1273" spans="4:4" x14ac:dyDescent="0.2">
      <c r="D1273"/>
    </row>
    <row r="1274" spans="4:4" x14ac:dyDescent="0.2">
      <c r="D1274"/>
    </row>
    <row r="1275" spans="4:4" x14ac:dyDescent="0.2">
      <c r="D1275"/>
    </row>
    <row r="1276" spans="4:4" x14ac:dyDescent="0.2">
      <c r="D1276"/>
    </row>
    <row r="1277" spans="4:4" x14ac:dyDescent="0.2">
      <c r="D1277"/>
    </row>
    <row r="1278" spans="4:4" x14ac:dyDescent="0.2">
      <c r="D1278"/>
    </row>
    <row r="1279" spans="4:4" x14ac:dyDescent="0.2">
      <c r="D1279"/>
    </row>
    <row r="1280" spans="4:4" x14ac:dyDescent="0.2">
      <c r="D1280"/>
    </row>
    <row r="1281" spans="4:4" x14ac:dyDescent="0.2">
      <c r="D1281"/>
    </row>
    <row r="1282" spans="4:4" x14ac:dyDescent="0.2">
      <c r="D1282"/>
    </row>
    <row r="1283" spans="4:4" x14ac:dyDescent="0.2">
      <c r="D1283"/>
    </row>
    <row r="1284" spans="4:4" x14ac:dyDescent="0.2">
      <c r="D1284"/>
    </row>
    <row r="1285" spans="4:4" x14ac:dyDescent="0.2">
      <c r="D1285"/>
    </row>
    <row r="1286" spans="4:4" x14ac:dyDescent="0.2">
      <c r="D1286"/>
    </row>
    <row r="1287" spans="4:4" x14ac:dyDescent="0.2">
      <c r="D1287"/>
    </row>
    <row r="1288" spans="4:4" x14ac:dyDescent="0.2">
      <c r="D1288"/>
    </row>
    <row r="1289" spans="4:4" x14ac:dyDescent="0.2">
      <c r="D1289"/>
    </row>
    <row r="1290" spans="4:4" x14ac:dyDescent="0.2">
      <c r="D1290"/>
    </row>
    <row r="1291" spans="4:4" x14ac:dyDescent="0.2">
      <c r="D1291"/>
    </row>
    <row r="1292" spans="4:4" x14ac:dyDescent="0.2">
      <c r="D1292"/>
    </row>
    <row r="1293" spans="4:4" x14ac:dyDescent="0.2">
      <c r="D1293"/>
    </row>
    <row r="1294" spans="4:4" x14ac:dyDescent="0.2">
      <c r="D1294"/>
    </row>
    <row r="1295" spans="4:4" x14ac:dyDescent="0.2">
      <c r="D1295"/>
    </row>
    <row r="1296" spans="4:4" x14ac:dyDescent="0.2">
      <c r="D1296"/>
    </row>
    <row r="1297" spans="4:4" x14ac:dyDescent="0.2">
      <c r="D1297"/>
    </row>
    <row r="1298" spans="4:4" x14ac:dyDescent="0.2">
      <c r="D1298"/>
    </row>
    <row r="1299" spans="4:4" x14ac:dyDescent="0.2">
      <c r="D1299"/>
    </row>
    <row r="1300" spans="4:4" x14ac:dyDescent="0.2">
      <c r="D1300"/>
    </row>
    <row r="1301" spans="4:4" x14ac:dyDescent="0.2">
      <c r="D1301"/>
    </row>
    <row r="1302" spans="4:4" x14ac:dyDescent="0.2">
      <c r="D1302"/>
    </row>
    <row r="1303" spans="4:4" x14ac:dyDescent="0.2">
      <c r="D1303"/>
    </row>
    <row r="1304" spans="4:4" x14ac:dyDescent="0.2">
      <c r="D1304"/>
    </row>
    <row r="1305" spans="4:4" x14ac:dyDescent="0.2">
      <c r="D1305"/>
    </row>
    <row r="1306" spans="4:4" x14ac:dyDescent="0.2">
      <c r="D1306"/>
    </row>
    <row r="1307" spans="4:4" x14ac:dyDescent="0.2">
      <c r="D1307"/>
    </row>
    <row r="1308" spans="4:4" x14ac:dyDescent="0.2">
      <c r="D1308"/>
    </row>
    <row r="1309" spans="4:4" x14ac:dyDescent="0.2">
      <c r="D1309"/>
    </row>
    <row r="1310" spans="4:4" x14ac:dyDescent="0.2">
      <c r="D1310"/>
    </row>
    <row r="1311" spans="4:4" x14ac:dyDescent="0.2">
      <c r="D1311"/>
    </row>
    <row r="1312" spans="4:4" x14ac:dyDescent="0.2">
      <c r="D1312"/>
    </row>
    <row r="1313" spans="4:4" x14ac:dyDescent="0.2">
      <c r="D1313"/>
    </row>
    <row r="1314" spans="4:4" x14ac:dyDescent="0.2">
      <c r="D1314"/>
    </row>
    <row r="1315" spans="4:4" x14ac:dyDescent="0.2">
      <c r="D1315"/>
    </row>
    <row r="1316" spans="4:4" x14ac:dyDescent="0.2">
      <c r="D1316"/>
    </row>
    <row r="1317" spans="4:4" x14ac:dyDescent="0.2">
      <c r="D1317"/>
    </row>
    <row r="1318" spans="4:4" x14ac:dyDescent="0.2">
      <c r="D1318"/>
    </row>
    <row r="1319" spans="4:4" x14ac:dyDescent="0.2">
      <c r="D1319"/>
    </row>
    <row r="1320" spans="4:4" x14ac:dyDescent="0.2">
      <c r="D1320"/>
    </row>
    <row r="1321" spans="4:4" x14ac:dyDescent="0.2">
      <c r="D1321"/>
    </row>
    <row r="1322" spans="4:4" x14ac:dyDescent="0.2">
      <c r="D1322"/>
    </row>
    <row r="1323" spans="4:4" x14ac:dyDescent="0.2">
      <c r="D1323"/>
    </row>
    <row r="1324" spans="4:4" x14ac:dyDescent="0.2">
      <c r="D1324"/>
    </row>
    <row r="1325" spans="4:4" x14ac:dyDescent="0.2">
      <c r="D1325"/>
    </row>
    <row r="1326" spans="4:4" x14ac:dyDescent="0.2">
      <c r="D1326"/>
    </row>
    <row r="1327" spans="4:4" x14ac:dyDescent="0.2">
      <c r="D1327"/>
    </row>
    <row r="1328" spans="4:4" x14ac:dyDescent="0.2">
      <c r="D1328"/>
    </row>
    <row r="1329" spans="4:4" x14ac:dyDescent="0.2">
      <c r="D1329"/>
    </row>
    <row r="1330" spans="4:4" x14ac:dyDescent="0.2">
      <c r="D1330"/>
    </row>
    <row r="1331" spans="4:4" x14ac:dyDescent="0.2">
      <c r="D1331"/>
    </row>
    <row r="1332" spans="4:4" x14ac:dyDescent="0.2">
      <c r="D1332"/>
    </row>
    <row r="1333" spans="4:4" x14ac:dyDescent="0.2">
      <c r="D1333"/>
    </row>
    <row r="1334" spans="4:4" x14ac:dyDescent="0.2">
      <c r="D1334"/>
    </row>
    <row r="1335" spans="4:4" x14ac:dyDescent="0.2">
      <c r="D1335"/>
    </row>
    <row r="1336" spans="4:4" x14ac:dyDescent="0.2">
      <c r="D1336"/>
    </row>
    <row r="1337" spans="4:4" x14ac:dyDescent="0.2">
      <c r="D1337"/>
    </row>
    <row r="1338" spans="4:4" x14ac:dyDescent="0.2">
      <c r="D1338"/>
    </row>
    <row r="1339" spans="4:4" x14ac:dyDescent="0.2">
      <c r="D1339"/>
    </row>
    <row r="1340" spans="4:4" x14ac:dyDescent="0.2">
      <c r="D1340"/>
    </row>
    <row r="1341" spans="4:4" x14ac:dyDescent="0.2">
      <c r="D1341"/>
    </row>
    <row r="1342" spans="4:4" x14ac:dyDescent="0.2">
      <c r="D1342"/>
    </row>
    <row r="1343" spans="4:4" x14ac:dyDescent="0.2">
      <c r="D1343"/>
    </row>
    <row r="1344" spans="4:4" x14ac:dyDescent="0.2">
      <c r="D1344"/>
    </row>
    <row r="1345" spans="4:4" x14ac:dyDescent="0.2">
      <c r="D1345"/>
    </row>
    <row r="1346" spans="4:4" x14ac:dyDescent="0.2">
      <c r="D1346"/>
    </row>
    <row r="1347" spans="4:4" x14ac:dyDescent="0.2">
      <c r="D1347"/>
    </row>
    <row r="1348" spans="4:4" x14ac:dyDescent="0.2">
      <c r="D1348"/>
    </row>
    <row r="1349" spans="4:4" x14ac:dyDescent="0.2">
      <c r="D1349"/>
    </row>
    <row r="1350" spans="4:4" x14ac:dyDescent="0.2">
      <c r="D1350"/>
    </row>
    <row r="1351" spans="4:4" x14ac:dyDescent="0.2">
      <c r="D1351"/>
    </row>
    <row r="1352" spans="4:4" x14ac:dyDescent="0.2">
      <c r="D1352"/>
    </row>
    <row r="1353" spans="4:4" x14ac:dyDescent="0.2">
      <c r="D1353"/>
    </row>
    <row r="1354" spans="4:4" x14ac:dyDescent="0.2">
      <c r="D1354"/>
    </row>
    <row r="1355" spans="4:4" x14ac:dyDescent="0.2">
      <c r="D1355"/>
    </row>
    <row r="1356" spans="4:4" x14ac:dyDescent="0.2">
      <c r="D1356"/>
    </row>
    <row r="1357" spans="4:4" x14ac:dyDescent="0.2">
      <c r="D1357"/>
    </row>
    <row r="1358" spans="4:4" x14ac:dyDescent="0.2">
      <c r="D1358"/>
    </row>
    <row r="1359" spans="4:4" x14ac:dyDescent="0.2">
      <c r="D1359"/>
    </row>
    <row r="1360" spans="4:4" x14ac:dyDescent="0.2">
      <c r="D1360"/>
    </row>
    <row r="1361" spans="4:4" x14ac:dyDescent="0.2">
      <c r="D1361"/>
    </row>
    <row r="1362" spans="4:4" x14ac:dyDescent="0.2">
      <c r="D1362"/>
    </row>
    <row r="1363" spans="4:4" x14ac:dyDescent="0.2">
      <c r="D1363"/>
    </row>
    <row r="1364" spans="4:4" x14ac:dyDescent="0.2">
      <c r="D1364"/>
    </row>
    <row r="1365" spans="4:4" x14ac:dyDescent="0.2">
      <c r="D1365"/>
    </row>
    <row r="1366" spans="4:4" x14ac:dyDescent="0.2">
      <c r="D1366"/>
    </row>
    <row r="1367" spans="4:4" x14ac:dyDescent="0.2">
      <c r="D1367"/>
    </row>
    <row r="1368" spans="4:4" x14ac:dyDescent="0.2">
      <c r="D1368"/>
    </row>
    <row r="1369" spans="4:4" x14ac:dyDescent="0.2">
      <c r="D1369"/>
    </row>
    <row r="1370" spans="4:4" x14ac:dyDescent="0.2">
      <c r="D1370"/>
    </row>
    <row r="1371" spans="4:4" x14ac:dyDescent="0.2">
      <c r="D1371"/>
    </row>
    <row r="1372" spans="4:4" x14ac:dyDescent="0.2">
      <c r="D1372"/>
    </row>
    <row r="1373" spans="4:4" x14ac:dyDescent="0.2">
      <c r="D1373"/>
    </row>
    <row r="1374" spans="4:4" x14ac:dyDescent="0.2">
      <c r="D1374"/>
    </row>
    <row r="1375" spans="4:4" x14ac:dyDescent="0.2">
      <c r="D1375"/>
    </row>
    <row r="1376" spans="4:4" x14ac:dyDescent="0.2">
      <c r="D1376"/>
    </row>
    <row r="1377" spans="4:4" x14ac:dyDescent="0.2">
      <c r="D1377"/>
    </row>
    <row r="1378" spans="4:4" x14ac:dyDescent="0.2">
      <c r="D1378"/>
    </row>
    <row r="1379" spans="4:4" x14ac:dyDescent="0.2">
      <c r="D1379"/>
    </row>
    <row r="1380" spans="4:4" x14ac:dyDescent="0.2">
      <c r="D1380"/>
    </row>
    <row r="1381" spans="4:4" x14ac:dyDescent="0.2">
      <c r="D1381"/>
    </row>
    <row r="1382" spans="4:4" x14ac:dyDescent="0.2">
      <c r="D1382"/>
    </row>
    <row r="1383" spans="4:4" x14ac:dyDescent="0.2">
      <c r="D1383"/>
    </row>
    <row r="1384" spans="4:4" x14ac:dyDescent="0.2">
      <c r="D1384"/>
    </row>
    <row r="1385" spans="4:4" x14ac:dyDescent="0.2">
      <c r="D1385"/>
    </row>
    <row r="1386" spans="4:4" x14ac:dyDescent="0.2">
      <c r="D1386"/>
    </row>
    <row r="1387" spans="4:4" x14ac:dyDescent="0.2">
      <c r="D1387"/>
    </row>
    <row r="1388" spans="4:4" x14ac:dyDescent="0.2">
      <c r="D1388"/>
    </row>
    <row r="1389" spans="4:4" x14ac:dyDescent="0.2">
      <c r="D1389"/>
    </row>
    <row r="1390" spans="4:4" x14ac:dyDescent="0.2">
      <c r="D1390"/>
    </row>
    <row r="1391" spans="4:4" x14ac:dyDescent="0.2">
      <c r="D1391"/>
    </row>
    <row r="1392" spans="4:4" x14ac:dyDescent="0.2">
      <c r="D1392"/>
    </row>
    <row r="1393" spans="4:4" x14ac:dyDescent="0.2">
      <c r="D1393"/>
    </row>
    <row r="1394" spans="4:4" x14ac:dyDescent="0.2">
      <c r="D1394"/>
    </row>
    <row r="1395" spans="4:4" x14ac:dyDescent="0.2">
      <c r="D1395"/>
    </row>
    <row r="1396" spans="4:4" x14ac:dyDescent="0.2">
      <c r="D1396"/>
    </row>
    <row r="1397" spans="4:4" x14ac:dyDescent="0.2">
      <c r="D1397"/>
    </row>
    <row r="1398" spans="4:4" x14ac:dyDescent="0.2">
      <c r="D1398"/>
    </row>
    <row r="1399" spans="4:4" x14ac:dyDescent="0.2">
      <c r="D1399"/>
    </row>
    <row r="1400" spans="4:4" x14ac:dyDescent="0.2">
      <c r="D1400"/>
    </row>
    <row r="1401" spans="4:4" x14ac:dyDescent="0.2">
      <c r="D1401"/>
    </row>
    <row r="1402" spans="4:4" x14ac:dyDescent="0.2">
      <c r="D1402"/>
    </row>
    <row r="1403" spans="4:4" x14ac:dyDescent="0.2">
      <c r="D1403"/>
    </row>
    <row r="1404" spans="4:4" x14ac:dyDescent="0.2">
      <c r="D1404"/>
    </row>
    <row r="1405" spans="4:4" x14ac:dyDescent="0.2">
      <c r="D1405"/>
    </row>
    <row r="1406" spans="4:4" x14ac:dyDescent="0.2">
      <c r="D1406"/>
    </row>
    <row r="1407" spans="4:4" x14ac:dyDescent="0.2">
      <c r="D1407"/>
    </row>
    <row r="1408" spans="4:4" x14ac:dyDescent="0.2">
      <c r="D1408"/>
    </row>
    <row r="1409" spans="4:4" x14ac:dyDescent="0.2">
      <c r="D1409"/>
    </row>
    <row r="1410" spans="4:4" x14ac:dyDescent="0.2">
      <c r="D1410"/>
    </row>
    <row r="1411" spans="4:4" x14ac:dyDescent="0.2">
      <c r="D1411"/>
    </row>
    <row r="1412" spans="4:4" x14ac:dyDescent="0.2">
      <c r="D1412"/>
    </row>
    <row r="1413" spans="4:4" x14ac:dyDescent="0.2">
      <c r="D1413"/>
    </row>
    <row r="1414" spans="4:4" x14ac:dyDescent="0.2">
      <c r="D1414"/>
    </row>
    <row r="1415" spans="4:4" x14ac:dyDescent="0.2">
      <c r="D1415"/>
    </row>
    <row r="1416" spans="4:4" x14ac:dyDescent="0.2">
      <c r="D1416"/>
    </row>
    <row r="1417" spans="4:4" x14ac:dyDescent="0.2">
      <c r="D1417"/>
    </row>
    <row r="1418" spans="4:4" x14ac:dyDescent="0.2">
      <c r="D1418"/>
    </row>
    <row r="1419" spans="4:4" x14ac:dyDescent="0.2">
      <c r="D1419"/>
    </row>
    <row r="1420" spans="4:4" x14ac:dyDescent="0.2">
      <c r="D1420"/>
    </row>
    <row r="1421" spans="4:4" x14ac:dyDescent="0.2">
      <c r="D1421"/>
    </row>
    <row r="1422" spans="4:4" x14ac:dyDescent="0.2">
      <c r="D1422"/>
    </row>
    <row r="1423" spans="4:4" x14ac:dyDescent="0.2">
      <c r="D1423"/>
    </row>
    <row r="1424" spans="4:4" x14ac:dyDescent="0.2">
      <c r="D1424"/>
    </row>
    <row r="1425" spans="4:4" x14ac:dyDescent="0.2">
      <c r="D1425"/>
    </row>
    <row r="1426" spans="4:4" x14ac:dyDescent="0.2">
      <c r="D1426"/>
    </row>
    <row r="1427" spans="4:4" x14ac:dyDescent="0.2">
      <c r="D1427"/>
    </row>
    <row r="1428" spans="4:4" x14ac:dyDescent="0.2">
      <c r="D1428"/>
    </row>
    <row r="1429" spans="4:4" x14ac:dyDescent="0.2">
      <c r="D1429"/>
    </row>
    <row r="1430" spans="4:4" x14ac:dyDescent="0.2">
      <c r="D1430"/>
    </row>
    <row r="1431" spans="4:4" x14ac:dyDescent="0.2">
      <c r="D1431"/>
    </row>
    <row r="1432" spans="4:4" x14ac:dyDescent="0.2">
      <c r="D1432"/>
    </row>
    <row r="1433" spans="4:4" x14ac:dyDescent="0.2">
      <c r="D1433"/>
    </row>
    <row r="1434" spans="4:4" x14ac:dyDescent="0.2">
      <c r="D1434"/>
    </row>
    <row r="1435" spans="4:4" x14ac:dyDescent="0.2">
      <c r="D1435"/>
    </row>
    <row r="1436" spans="4:4" x14ac:dyDescent="0.2">
      <c r="D1436"/>
    </row>
    <row r="1437" spans="4:4" x14ac:dyDescent="0.2">
      <c r="D1437"/>
    </row>
    <row r="1438" spans="4:4" x14ac:dyDescent="0.2">
      <c r="D1438"/>
    </row>
    <row r="1439" spans="4:4" x14ac:dyDescent="0.2">
      <c r="D1439"/>
    </row>
    <row r="1440" spans="4:4" x14ac:dyDescent="0.2">
      <c r="D1440"/>
    </row>
    <row r="1441" spans="4:4" x14ac:dyDescent="0.2">
      <c r="D1441"/>
    </row>
    <row r="1442" spans="4:4" x14ac:dyDescent="0.2">
      <c r="D1442"/>
    </row>
    <row r="1443" spans="4:4" x14ac:dyDescent="0.2">
      <c r="D1443"/>
    </row>
    <row r="1444" spans="4:4" x14ac:dyDescent="0.2">
      <c r="D1444"/>
    </row>
    <row r="1445" spans="4:4" x14ac:dyDescent="0.2">
      <c r="D1445"/>
    </row>
    <row r="1446" spans="4:4" x14ac:dyDescent="0.2">
      <c r="D1446"/>
    </row>
    <row r="1447" spans="4:4" x14ac:dyDescent="0.2">
      <c r="D1447"/>
    </row>
    <row r="1448" spans="4:4" x14ac:dyDescent="0.2">
      <c r="D1448"/>
    </row>
    <row r="1449" spans="4:4" x14ac:dyDescent="0.2">
      <c r="D1449"/>
    </row>
    <row r="1450" spans="4:4" x14ac:dyDescent="0.2">
      <c r="D1450"/>
    </row>
    <row r="1451" spans="4:4" x14ac:dyDescent="0.2">
      <c r="D1451"/>
    </row>
    <row r="1452" spans="4:4" x14ac:dyDescent="0.2">
      <c r="D1452"/>
    </row>
    <row r="1453" spans="4:4" x14ac:dyDescent="0.2">
      <c r="D1453"/>
    </row>
    <row r="1454" spans="4:4" x14ac:dyDescent="0.2">
      <c r="D1454"/>
    </row>
    <row r="1455" spans="4:4" x14ac:dyDescent="0.2">
      <c r="D1455"/>
    </row>
    <row r="1456" spans="4:4" x14ac:dyDescent="0.2">
      <c r="D1456"/>
    </row>
    <row r="1457" spans="4:4" x14ac:dyDescent="0.2">
      <c r="D1457"/>
    </row>
    <row r="1458" spans="4:4" x14ac:dyDescent="0.2">
      <c r="D1458"/>
    </row>
    <row r="1459" spans="4:4" x14ac:dyDescent="0.2">
      <c r="D1459"/>
    </row>
    <row r="1460" spans="4:4" x14ac:dyDescent="0.2">
      <c r="D1460"/>
    </row>
    <row r="1461" spans="4:4" x14ac:dyDescent="0.2">
      <c r="D1461"/>
    </row>
    <row r="1462" spans="4:4" x14ac:dyDescent="0.2">
      <c r="D1462"/>
    </row>
    <row r="1463" spans="4:4" x14ac:dyDescent="0.2">
      <c r="D1463"/>
    </row>
    <row r="1464" spans="4:4" x14ac:dyDescent="0.2">
      <c r="D1464"/>
    </row>
    <row r="1465" spans="4:4" x14ac:dyDescent="0.2">
      <c r="D1465"/>
    </row>
    <row r="1466" spans="4:4" x14ac:dyDescent="0.2">
      <c r="D1466"/>
    </row>
    <row r="1467" spans="4:4" x14ac:dyDescent="0.2">
      <c r="D1467"/>
    </row>
    <row r="1468" spans="4:4" x14ac:dyDescent="0.2">
      <c r="D1468"/>
    </row>
    <row r="1469" spans="4:4" x14ac:dyDescent="0.2">
      <c r="D1469"/>
    </row>
    <row r="1470" spans="4:4" x14ac:dyDescent="0.2">
      <c r="D1470"/>
    </row>
    <row r="1471" spans="4:4" x14ac:dyDescent="0.2">
      <c r="D1471"/>
    </row>
    <row r="1472" spans="4:4" x14ac:dyDescent="0.2">
      <c r="D1472"/>
    </row>
    <row r="1473" spans="4:4" x14ac:dyDescent="0.2">
      <c r="D1473"/>
    </row>
    <row r="1474" spans="4:4" x14ac:dyDescent="0.2">
      <c r="D1474"/>
    </row>
    <row r="1475" spans="4:4" x14ac:dyDescent="0.2">
      <c r="D1475"/>
    </row>
    <row r="1476" spans="4:4" x14ac:dyDescent="0.2">
      <c r="D1476"/>
    </row>
    <row r="1477" spans="4:4" x14ac:dyDescent="0.2">
      <c r="D1477"/>
    </row>
    <row r="1478" spans="4:4" x14ac:dyDescent="0.2">
      <c r="D1478"/>
    </row>
    <row r="1479" spans="4:4" x14ac:dyDescent="0.2">
      <c r="D1479"/>
    </row>
    <row r="1480" spans="4:4" x14ac:dyDescent="0.2">
      <c r="D1480"/>
    </row>
    <row r="1481" spans="4:4" x14ac:dyDescent="0.2">
      <c r="D1481"/>
    </row>
    <row r="1482" spans="4:4" x14ac:dyDescent="0.2">
      <c r="D1482"/>
    </row>
    <row r="1483" spans="4:4" x14ac:dyDescent="0.2">
      <c r="D1483"/>
    </row>
    <row r="1484" spans="4:4" x14ac:dyDescent="0.2">
      <c r="D1484"/>
    </row>
    <row r="1485" spans="4:4" x14ac:dyDescent="0.2">
      <c r="D1485"/>
    </row>
    <row r="1486" spans="4:4" x14ac:dyDescent="0.2">
      <c r="D1486"/>
    </row>
    <row r="1487" spans="4:4" x14ac:dyDescent="0.2">
      <c r="D1487"/>
    </row>
    <row r="1488" spans="4:4" x14ac:dyDescent="0.2">
      <c r="D1488"/>
    </row>
    <row r="1489" spans="4:4" x14ac:dyDescent="0.2">
      <c r="D1489"/>
    </row>
    <row r="1490" spans="4:4" x14ac:dyDescent="0.2">
      <c r="D1490"/>
    </row>
    <row r="1491" spans="4:4" x14ac:dyDescent="0.2">
      <c r="D1491"/>
    </row>
    <row r="1492" spans="4:4" x14ac:dyDescent="0.2">
      <c r="D1492"/>
    </row>
    <row r="1493" spans="4:4" x14ac:dyDescent="0.2">
      <c r="D1493"/>
    </row>
    <row r="1494" spans="4:4" x14ac:dyDescent="0.2">
      <c r="D1494"/>
    </row>
    <row r="1495" spans="4:4" x14ac:dyDescent="0.2">
      <c r="D1495"/>
    </row>
    <row r="1496" spans="4:4" x14ac:dyDescent="0.2">
      <c r="D1496"/>
    </row>
    <row r="1497" spans="4:4" x14ac:dyDescent="0.2">
      <c r="D1497"/>
    </row>
    <row r="1498" spans="4:4" x14ac:dyDescent="0.2">
      <c r="D1498"/>
    </row>
    <row r="1499" spans="4:4" x14ac:dyDescent="0.2">
      <c r="D1499"/>
    </row>
    <row r="1500" spans="4:4" x14ac:dyDescent="0.2">
      <c r="D1500"/>
    </row>
    <row r="1501" spans="4:4" x14ac:dyDescent="0.2">
      <c r="D1501"/>
    </row>
    <row r="1502" spans="4:4" x14ac:dyDescent="0.2">
      <c r="D1502"/>
    </row>
    <row r="1503" spans="4:4" x14ac:dyDescent="0.2">
      <c r="D1503"/>
    </row>
    <row r="1504" spans="4:4" x14ac:dyDescent="0.2">
      <c r="D1504"/>
    </row>
    <row r="1505" spans="4:4" x14ac:dyDescent="0.2">
      <c r="D1505"/>
    </row>
    <row r="1506" spans="4:4" x14ac:dyDescent="0.2">
      <c r="D1506"/>
    </row>
    <row r="1507" spans="4:4" x14ac:dyDescent="0.2">
      <c r="D1507"/>
    </row>
    <row r="1508" spans="4:4" x14ac:dyDescent="0.2">
      <c r="D1508"/>
    </row>
    <row r="1509" spans="4:4" x14ac:dyDescent="0.2">
      <c r="D1509"/>
    </row>
    <row r="1510" spans="4:4" x14ac:dyDescent="0.2">
      <c r="D1510"/>
    </row>
    <row r="1511" spans="4:4" x14ac:dyDescent="0.2">
      <c r="D1511"/>
    </row>
    <row r="1512" spans="4:4" x14ac:dyDescent="0.2">
      <c r="D1512"/>
    </row>
    <row r="1513" spans="4:4" x14ac:dyDescent="0.2">
      <c r="D1513"/>
    </row>
    <row r="1514" spans="4:4" x14ac:dyDescent="0.2">
      <c r="D1514"/>
    </row>
    <row r="1515" spans="4:4" x14ac:dyDescent="0.2">
      <c r="D1515"/>
    </row>
    <row r="1516" spans="4:4" x14ac:dyDescent="0.2">
      <c r="D1516"/>
    </row>
    <row r="1517" spans="4:4" x14ac:dyDescent="0.2">
      <c r="D1517"/>
    </row>
    <row r="1518" spans="4:4" x14ac:dyDescent="0.2">
      <c r="D1518"/>
    </row>
    <row r="1519" spans="4:4" x14ac:dyDescent="0.2">
      <c r="D1519"/>
    </row>
    <row r="1520" spans="4:4" x14ac:dyDescent="0.2">
      <c r="D1520"/>
    </row>
    <row r="1521" spans="4:4" x14ac:dyDescent="0.2">
      <c r="D1521"/>
    </row>
    <row r="1522" spans="4:4" x14ac:dyDescent="0.2">
      <c r="D1522"/>
    </row>
    <row r="1523" spans="4:4" x14ac:dyDescent="0.2">
      <c r="D1523"/>
    </row>
    <row r="1524" spans="4:4" x14ac:dyDescent="0.2">
      <c r="D1524"/>
    </row>
    <row r="1525" spans="4:4" x14ac:dyDescent="0.2">
      <c r="D1525"/>
    </row>
    <row r="1526" spans="4:4" x14ac:dyDescent="0.2">
      <c r="D1526"/>
    </row>
    <row r="1527" spans="4:4" x14ac:dyDescent="0.2">
      <c r="D1527"/>
    </row>
    <row r="1528" spans="4:4" x14ac:dyDescent="0.2">
      <c r="D1528"/>
    </row>
    <row r="1529" spans="4:4" x14ac:dyDescent="0.2">
      <c r="D1529"/>
    </row>
    <row r="1530" spans="4:4" x14ac:dyDescent="0.2">
      <c r="D1530"/>
    </row>
    <row r="1531" spans="4:4" x14ac:dyDescent="0.2">
      <c r="D1531"/>
    </row>
    <row r="1532" spans="4:4" x14ac:dyDescent="0.2">
      <c r="D1532"/>
    </row>
    <row r="1533" spans="4:4" x14ac:dyDescent="0.2">
      <c r="D1533"/>
    </row>
    <row r="1534" spans="4:4" x14ac:dyDescent="0.2">
      <c r="D1534"/>
    </row>
    <row r="1535" spans="4:4" x14ac:dyDescent="0.2">
      <c r="D1535"/>
    </row>
    <row r="1536" spans="4:4" x14ac:dyDescent="0.2">
      <c r="D1536"/>
    </row>
    <row r="1537" spans="4:4" x14ac:dyDescent="0.2">
      <c r="D1537"/>
    </row>
    <row r="1538" spans="4:4" x14ac:dyDescent="0.2">
      <c r="D1538"/>
    </row>
    <row r="1539" spans="4:4" x14ac:dyDescent="0.2">
      <c r="D1539"/>
    </row>
    <row r="1540" spans="4:4" x14ac:dyDescent="0.2">
      <c r="D1540"/>
    </row>
    <row r="1541" spans="4:4" x14ac:dyDescent="0.2">
      <c r="D1541"/>
    </row>
    <row r="1542" spans="4:4" x14ac:dyDescent="0.2">
      <c r="D1542"/>
    </row>
    <row r="1543" spans="4:4" x14ac:dyDescent="0.2">
      <c r="D1543"/>
    </row>
    <row r="1544" spans="4:4" x14ac:dyDescent="0.2">
      <c r="D1544"/>
    </row>
    <row r="1545" spans="4:4" x14ac:dyDescent="0.2">
      <c r="D1545"/>
    </row>
    <row r="1546" spans="4:4" x14ac:dyDescent="0.2">
      <c r="D1546"/>
    </row>
    <row r="1547" spans="4:4" x14ac:dyDescent="0.2">
      <c r="D1547"/>
    </row>
    <row r="1548" spans="4:4" x14ac:dyDescent="0.2">
      <c r="D1548"/>
    </row>
    <row r="1549" spans="4:4" x14ac:dyDescent="0.2">
      <c r="D1549"/>
    </row>
    <row r="1550" spans="4:4" x14ac:dyDescent="0.2">
      <c r="D1550"/>
    </row>
    <row r="1551" spans="4:4" x14ac:dyDescent="0.2">
      <c r="D1551"/>
    </row>
    <row r="1552" spans="4:4" x14ac:dyDescent="0.2">
      <c r="D1552"/>
    </row>
    <row r="1553" spans="4:4" x14ac:dyDescent="0.2">
      <c r="D1553"/>
    </row>
    <row r="1554" spans="4:4" x14ac:dyDescent="0.2">
      <c r="D1554"/>
    </row>
    <row r="1555" spans="4:4" x14ac:dyDescent="0.2">
      <c r="D1555"/>
    </row>
    <row r="1556" spans="4:4" x14ac:dyDescent="0.2">
      <c r="D1556"/>
    </row>
    <row r="1557" spans="4:4" x14ac:dyDescent="0.2">
      <c r="D1557"/>
    </row>
    <row r="1558" spans="4:4" x14ac:dyDescent="0.2">
      <c r="D1558"/>
    </row>
    <row r="1559" spans="4:4" x14ac:dyDescent="0.2">
      <c r="D1559"/>
    </row>
    <row r="1560" spans="4:4" x14ac:dyDescent="0.2">
      <c r="D1560"/>
    </row>
    <row r="1561" spans="4:4" x14ac:dyDescent="0.2">
      <c r="D1561"/>
    </row>
    <row r="1562" spans="4:4" x14ac:dyDescent="0.2">
      <c r="D1562"/>
    </row>
    <row r="1563" spans="4:4" x14ac:dyDescent="0.2">
      <c r="D1563"/>
    </row>
    <row r="1564" spans="4:4" x14ac:dyDescent="0.2">
      <c r="D1564"/>
    </row>
    <row r="1565" spans="4:4" x14ac:dyDescent="0.2">
      <c r="D1565"/>
    </row>
    <row r="1566" spans="4:4" x14ac:dyDescent="0.2">
      <c r="D1566"/>
    </row>
    <row r="1567" spans="4:4" x14ac:dyDescent="0.2">
      <c r="D1567"/>
    </row>
    <row r="1568" spans="4:4" x14ac:dyDescent="0.2">
      <c r="D1568"/>
    </row>
    <row r="1569" spans="4:4" x14ac:dyDescent="0.2">
      <c r="D1569"/>
    </row>
    <row r="1570" spans="4:4" x14ac:dyDescent="0.2">
      <c r="D1570"/>
    </row>
    <row r="1571" spans="4:4" x14ac:dyDescent="0.2">
      <c r="D1571"/>
    </row>
    <row r="1572" spans="4:4" x14ac:dyDescent="0.2">
      <c r="D1572"/>
    </row>
    <row r="1573" spans="4:4" x14ac:dyDescent="0.2">
      <c r="D1573"/>
    </row>
    <row r="1574" spans="4:4" x14ac:dyDescent="0.2">
      <c r="D1574"/>
    </row>
    <row r="1575" spans="4:4" x14ac:dyDescent="0.2">
      <c r="D1575"/>
    </row>
    <row r="1576" spans="4:4" x14ac:dyDescent="0.2">
      <c r="D1576"/>
    </row>
    <row r="1577" spans="4:4" x14ac:dyDescent="0.2">
      <c r="D1577"/>
    </row>
    <row r="1578" spans="4:4" x14ac:dyDescent="0.2">
      <c r="D1578"/>
    </row>
    <row r="1579" spans="4:4" x14ac:dyDescent="0.2">
      <c r="D1579"/>
    </row>
    <row r="1580" spans="4:4" x14ac:dyDescent="0.2">
      <c r="D1580"/>
    </row>
    <row r="1581" spans="4:4" x14ac:dyDescent="0.2">
      <c r="D1581"/>
    </row>
    <row r="1582" spans="4:4" x14ac:dyDescent="0.2">
      <c r="D1582"/>
    </row>
    <row r="1583" spans="4:4" x14ac:dyDescent="0.2">
      <c r="D1583"/>
    </row>
    <row r="1584" spans="4:4" x14ac:dyDescent="0.2">
      <c r="D1584"/>
    </row>
    <row r="1585" spans="4:4" x14ac:dyDescent="0.2">
      <c r="D1585"/>
    </row>
    <row r="1586" spans="4:4" x14ac:dyDescent="0.2">
      <c r="D1586"/>
    </row>
    <row r="1587" spans="4:4" x14ac:dyDescent="0.2">
      <c r="D1587"/>
    </row>
    <row r="1588" spans="4:4" x14ac:dyDescent="0.2">
      <c r="D1588"/>
    </row>
    <row r="1589" spans="4:4" x14ac:dyDescent="0.2">
      <c r="D1589"/>
    </row>
    <row r="1590" spans="4:4" x14ac:dyDescent="0.2">
      <c r="D1590"/>
    </row>
    <row r="1591" spans="4:4" x14ac:dyDescent="0.2">
      <c r="D1591"/>
    </row>
    <row r="1592" spans="4:4" x14ac:dyDescent="0.2">
      <c r="D1592"/>
    </row>
    <row r="1593" spans="4:4" x14ac:dyDescent="0.2">
      <c r="D1593"/>
    </row>
    <row r="1594" spans="4:4" x14ac:dyDescent="0.2">
      <c r="D1594"/>
    </row>
    <row r="1595" spans="4:4" x14ac:dyDescent="0.2">
      <c r="D1595"/>
    </row>
    <row r="1596" spans="4:4" x14ac:dyDescent="0.2">
      <c r="D1596"/>
    </row>
    <row r="1597" spans="4:4" x14ac:dyDescent="0.2">
      <c r="D1597"/>
    </row>
    <row r="1598" spans="4:4" x14ac:dyDescent="0.2">
      <c r="D1598"/>
    </row>
    <row r="1599" spans="4:4" x14ac:dyDescent="0.2">
      <c r="D1599"/>
    </row>
    <row r="1600" spans="4:4" x14ac:dyDescent="0.2">
      <c r="D1600"/>
    </row>
    <row r="1601" spans="4:4" x14ac:dyDescent="0.2">
      <c r="D1601"/>
    </row>
    <row r="1602" spans="4:4" x14ac:dyDescent="0.2">
      <c r="D1602"/>
    </row>
    <row r="1603" spans="4:4" x14ac:dyDescent="0.2">
      <c r="D1603"/>
    </row>
    <row r="1604" spans="4:4" x14ac:dyDescent="0.2">
      <c r="D1604"/>
    </row>
    <row r="1605" spans="4:4" x14ac:dyDescent="0.2">
      <c r="D1605"/>
    </row>
    <row r="1606" spans="4:4" x14ac:dyDescent="0.2">
      <c r="D1606"/>
    </row>
    <row r="1607" spans="4:4" x14ac:dyDescent="0.2">
      <c r="D1607"/>
    </row>
    <row r="1608" spans="4:4" x14ac:dyDescent="0.2">
      <c r="D1608"/>
    </row>
    <row r="1609" spans="4:4" x14ac:dyDescent="0.2">
      <c r="D1609"/>
    </row>
    <row r="1610" spans="4:4" x14ac:dyDescent="0.2">
      <c r="D1610"/>
    </row>
    <row r="1611" spans="4:4" x14ac:dyDescent="0.2">
      <c r="D1611"/>
    </row>
    <row r="1612" spans="4:4" x14ac:dyDescent="0.2">
      <c r="D1612"/>
    </row>
    <row r="1613" spans="4:4" x14ac:dyDescent="0.2">
      <c r="D1613"/>
    </row>
    <row r="1614" spans="4:4" x14ac:dyDescent="0.2">
      <c r="D1614"/>
    </row>
    <row r="1615" spans="4:4" x14ac:dyDescent="0.2">
      <c r="D1615"/>
    </row>
    <row r="1616" spans="4:4" x14ac:dyDescent="0.2">
      <c r="D1616"/>
    </row>
    <row r="1617" spans="4:4" x14ac:dyDescent="0.2">
      <c r="D1617"/>
    </row>
    <row r="1618" spans="4:4" x14ac:dyDescent="0.2">
      <c r="D1618"/>
    </row>
    <row r="1619" spans="4:4" x14ac:dyDescent="0.2">
      <c r="D1619"/>
    </row>
    <row r="1620" spans="4:4" x14ac:dyDescent="0.2">
      <c r="D1620"/>
    </row>
    <row r="1621" spans="4:4" x14ac:dyDescent="0.2">
      <c r="D1621"/>
    </row>
    <row r="1622" spans="4:4" x14ac:dyDescent="0.2">
      <c r="D1622"/>
    </row>
    <row r="1623" spans="4:4" x14ac:dyDescent="0.2">
      <c r="D1623"/>
    </row>
    <row r="1624" spans="4:4" x14ac:dyDescent="0.2">
      <c r="D1624"/>
    </row>
    <row r="1625" spans="4:4" x14ac:dyDescent="0.2">
      <c r="D1625"/>
    </row>
    <row r="1626" spans="4:4" x14ac:dyDescent="0.2">
      <c r="D1626"/>
    </row>
    <row r="1627" spans="4:4" x14ac:dyDescent="0.2">
      <c r="D1627"/>
    </row>
    <row r="1628" spans="4:4" x14ac:dyDescent="0.2">
      <c r="D1628"/>
    </row>
    <row r="1629" spans="4:4" x14ac:dyDescent="0.2">
      <c r="D1629"/>
    </row>
    <row r="1630" spans="4:4" x14ac:dyDescent="0.2">
      <c r="D1630"/>
    </row>
    <row r="1631" spans="4:4" x14ac:dyDescent="0.2">
      <c r="D1631"/>
    </row>
    <row r="1632" spans="4:4" x14ac:dyDescent="0.2">
      <c r="D1632"/>
    </row>
    <row r="1633" spans="4:4" x14ac:dyDescent="0.2">
      <c r="D1633"/>
    </row>
    <row r="1634" spans="4:4" x14ac:dyDescent="0.2">
      <c r="D1634"/>
    </row>
    <row r="1635" spans="4:4" x14ac:dyDescent="0.2">
      <c r="D1635"/>
    </row>
    <row r="1636" spans="4:4" x14ac:dyDescent="0.2">
      <c r="D1636"/>
    </row>
    <row r="1637" spans="4:4" x14ac:dyDescent="0.2">
      <c r="D1637"/>
    </row>
    <row r="1638" spans="4:4" x14ac:dyDescent="0.2">
      <c r="D1638"/>
    </row>
  </sheetData>
  <sheetProtection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9" tint="0.59999389629810485"/>
    <pageSetUpPr fitToPage="1"/>
  </sheetPr>
  <dimension ref="A1:BI854"/>
  <sheetViews>
    <sheetView zoomScale="90" zoomScaleNormal="90" workbookViewId="0">
      <pane xSplit="7" ySplit="2" topLeftCell="AQ6" activePane="bottomRight" state="frozen"/>
      <selection pane="topRight" activeCell="H1" sqref="H1"/>
      <selection pane="bottomLeft" activeCell="A3" sqref="A3"/>
      <selection pane="bottomRight" activeCell="C13" sqref="C13"/>
    </sheetView>
  </sheetViews>
  <sheetFormatPr baseColWidth="10" defaultColWidth="11.5" defaultRowHeight="15" x14ac:dyDescent="0.2"/>
  <cols>
    <col min="1" max="1" width="16.5" customWidth="1"/>
    <col min="2" max="2" width="39.83203125" customWidth="1"/>
    <col min="3" max="3" width="14.5" bestFit="1" customWidth="1"/>
    <col min="4" max="4" width="12.1640625" customWidth="1"/>
    <col min="5" max="5" width="13.5" style="1" hidden="1" customWidth="1"/>
    <col min="6" max="6" width="11" style="1" customWidth="1"/>
    <col min="7" max="7" width="22.1640625" customWidth="1"/>
  </cols>
  <sheetData>
    <row r="1" spans="1:61" ht="16" x14ac:dyDescent="0.2">
      <c r="A1" s="148" t="s">
        <v>144</v>
      </c>
      <c r="B1" s="148" t="s">
        <v>145</v>
      </c>
      <c r="C1" s="148" t="s">
        <v>146</v>
      </c>
      <c r="D1" s="148" t="s">
        <v>4</v>
      </c>
      <c r="E1" s="148" t="s">
        <v>147</v>
      </c>
      <c r="F1" s="148" t="s">
        <v>5</v>
      </c>
      <c r="G1" s="148" t="s">
        <v>148</v>
      </c>
      <c r="H1" s="167" t="s">
        <v>72</v>
      </c>
      <c r="I1" s="167"/>
      <c r="J1" s="167"/>
      <c r="K1" s="167" t="s">
        <v>73</v>
      </c>
      <c r="L1" s="167"/>
      <c r="M1" s="167"/>
      <c r="N1" s="167" t="s">
        <v>74</v>
      </c>
      <c r="O1" s="167"/>
      <c r="P1" s="167"/>
      <c r="Q1" s="167" t="s">
        <v>75</v>
      </c>
      <c r="R1" s="167"/>
      <c r="S1" s="167"/>
      <c r="T1" s="167" t="s">
        <v>76</v>
      </c>
      <c r="U1" s="167"/>
      <c r="V1" s="167"/>
      <c r="W1" s="167" t="s">
        <v>77</v>
      </c>
      <c r="X1" s="167"/>
      <c r="Y1" s="167"/>
      <c r="Z1" s="167" t="s">
        <v>78</v>
      </c>
      <c r="AA1" s="167"/>
      <c r="AB1" s="167"/>
      <c r="AC1" s="167" t="s">
        <v>79</v>
      </c>
      <c r="AD1" s="167"/>
      <c r="AE1" s="167"/>
      <c r="AF1" s="167" t="s">
        <v>80</v>
      </c>
      <c r="AG1" s="167"/>
      <c r="AH1" s="167"/>
      <c r="AI1" s="167" t="s">
        <v>12</v>
      </c>
      <c r="AJ1" s="167"/>
      <c r="AK1" s="167"/>
      <c r="AL1" s="167" t="s">
        <v>81</v>
      </c>
      <c r="AM1" s="167"/>
      <c r="AN1" s="167"/>
      <c r="AO1" s="167" t="s">
        <v>82</v>
      </c>
      <c r="AP1" s="167"/>
      <c r="AQ1" s="167"/>
      <c r="AR1" s="167" t="s">
        <v>83</v>
      </c>
      <c r="AS1" s="167"/>
      <c r="AT1" s="167"/>
      <c r="AU1" s="167" t="s">
        <v>84</v>
      </c>
      <c r="AV1" s="167"/>
      <c r="AW1" s="167"/>
      <c r="AX1" s="167" t="s">
        <v>85</v>
      </c>
      <c r="AY1" s="167"/>
      <c r="AZ1" s="167"/>
      <c r="BA1" s="167" t="s">
        <v>86</v>
      </c>
      <c r="BB1" s="167"/>
      <c r="BC1" s="167"/>
      <c r="BD1" s="167" t="s">
        <v>87</v>
      </c>
      <c r="BE1" s="167"/>
      <c r="BF1" s="167"/>
      <c r="BG1" s="167" t="s">
        <v>88</v>
      </c>
      <c r="BH1" s="167"/>
      <c r="BI1" s="167"/>
    </row>
    <row r="2" spans="1:61" ht="16" x14ac:dyDescent="0.2">
      <c r="H2" s="3" t="s">
        <v>6</v>
      </c>
      <c r="I2" s="4" t="s">
        <v>7</v>
      </c>
      <c r="J2" s="4" t="s">
        <v>8</v>
      </c>
      <c r="K2" s="3" t="s">
        <v>6</v>
      </c>
      <c r="L2" s="4" t="s">
        <v>7</v>
      </c>
      <c r="M2" s="5" t="s">
        <v>8</v>
      </c>
      <c r="N2" s="3" t="s">
        <v>6</v>
      </c>
      <c r="O2" s="4" t="s">
        <v>7</v>
      </c>
      <c r="P2" s="4" t="s">
        <v>8</v>
      </c>
      <c r="Q2" s="6" t="s">
        <v>6</v>
      </c>
      <c r="R2" s="7" t="s">
        <v>7</v>
      </c>
      <c r="S2" s="8" t="s">
        <v>8</v>
      </c>
      <c r="T2" s="6" t="s">
        <v>6</v>
      </c>
      <c r="U2" s="7" t="s">
        <v>7</v>
      </c>
      <c r="V2" s="8" t="s">
        <v>8</v>
      </c>
      <c r="W2" s="6" t="s">
        <v>6</v>
      </c>
      <c r="X2" s="7" t="s">
        <v>7</v>
      </c>
      <c r="Y2" s="8" t="s">
        <v>8</v>
      </c>
      <c r="Z2" s="6" t="s">
        <v>6</v>
      </c>
      <c r="AA2" s="7" t="s">
        <v>7</v>
      </c>
      <c r="AB2" s="8" t="s">
        <v>8</v>
      </c>
      <c r="AC2" s="6" t="s">
        <v>6</v>
      </c>
      <c r="AD2" s="7" t="s">
        <v>7</v>
      </c>
      <c r="AE2" s="8" t="s">
        <v>8</v>
      </c>
      <c r="AF2" s="6" t="s">
        <v>6</v>
      </c>
      <c r="AG2" s="7" t="s">
        <v>7</v>
      </c>
      <c r="AH2" s="8" t="s">
        <v>8</v>
      </c>
      <c r="AI2" s="6" t="s">
        <v>6</v>
      </c>
      <c r="AJ2" s="7" t="s">
        <v>7</v>
      </c>
      <c r="AK2" s="8" t="s">
        <v>8</v>
      </c>
      <c r="AL2" s="6" t="s">
        <v>6</v>
      </c>
      <c r="AM2" s="7" t="s">
        <v>7</v>
      </c>
      <c r="AN2" s="8" t="s">
        <v>8</v>
      </c>
      <c r="AO2" s="6" t="s">
        <v>6</v>
      </c>
      <c r="AP2" s="7" t="s">
        <v>7</v>
      </c>
      <c r="AQ2" s="8" t="s">
        <v>8</v>
      </c>
      <c r="AR2" s="6" t="s">
        <v>6</v>
      </c>
      <c r="AS2" s="7" t="s">
        <v>7</v>
      </c>
      <c r="AT2" s="8" t="s">
        <v>8</v>
      </c>
      <c r="AU2" s="6" t="s">
        <v>6</v>
      </c>
      <c r="AV2" s="7" t="s">
        <v>7</v>
      </c>
      <c r="AW2" s="8" t="s">
        <v>8</v>
      </c>
      <c r="AX2" s="6" t="s">
        <v>6</v>
      </c>
      <c r="AY2" s="7" t="s">
        <v>7</v>
      </c>
      <c r="AZ2" s="8" t="s">
        <v>8</v>
      </c>
      <c r="BA2" s="6" t="s">
        <v>6</v>
      </c>
      <c r="BB2" s="7" t="s">
        <v>7</v>
      </c>
      <c r="BC2" s="8" t="s">
        <v>8</v>
      </c>
      <c r="BD2" s="6" t="s">
        <v>6</v>
      </c>
      <c r="BE2" s="7" t="s">
        <v>7</v>
      </c>
      <c r="BF2" s="8" t="s">
        <v>8</v>
      </c>
      <c r="BG2" s="6" t="s">
        <v>6</v>
      </c>
      <c r="BH2" s="7" t="s">
        <v>7</v>
      </c>
      <c r="BI2" s="8" t="s">
        <v>8</v>
      </c>
    </row>
    <row r="3" spans="1:61" x14ac:dyDescent="0.2">
      <c r="A3" t="s">
        <v>149</v>
      </c>
      <c r="B3" t="s">
        <v>150</v>
      </c>
      <c r="C3" t="s">
        <v>151</v>
      </c>
      <c r="D3" t="s">
        <v>152</v>
      </c>
      <c r="E3" s="1" t="s">
        <v>8</v>
      </c>
      <c r="F3" s="1" t="s">
        <v>153</v>
      </c>
      <c r="G3" t="s">
        <v>154</v>
      </c>
      <c r="H3">
        <v>3100</v>
      </c>
      <c r="M3">
        <v>3</v>
      </c>
      <c r="N3">
        <v>12</v>
      </c>
      <c r="S3">
        <v>0.73</v>
      </c>
      <c r="V3">
        <v>150</v>
      </c>
      <c r="W3">
        <v>12</v>
      </c>
      <c r="Z3">
        <v>2.2000000000000002</v>
      </c>
      <c r="AC3">
        <v>2.8</v>
      </c>
      <c r="AF3">
        <v>5100</v>
      </c>
      <c r="AJ3" s="16">
        <f>(3.9*1.44)</f>
        <v>5.6159999999999997</v>
      </c>
      <c r="AL3">
        <v>380</v>
      </c>
      <c r="AO3">
        <v>58</v>
      </c>
      <c r="AR3">
        <v>3.1</v>
      </c>
      <c r="AU3">
        <v>380</v>
      </c>
      <c r="AZ3">
        <v>50</v>
      </c>
      <c r="BA3">
        <v>15</v>
      </c>
      <c r="BF3">
        <v>20</v>
      </c>
      <c r="BG3" t="s">
        <v>155</v>
      </c>
    </row>
    <row r="4" spans="1:61" x14ac:dyDescent="0.2">
      <c r="A4" t="s">
        <v>156</v>
      </c>
      <c r="B4" t="s">
        <v>157</v>
      </c>
      <c r="C4" t="s">
        <v>158</v>
      </c>
      <c r="D4" t="s">
        <v>159</v>
      </c>
      <c r="E4" s="1" t="s">
        <v>8</v>
      </c>
      <c r="F4" s="1" t="s">
        <v>140</v>
      </c>
      <c r="G4" t="s">
        <v>160</v>
      </c>
      <c r="H4" t="s">
        <v>155</v>
      </c>
      <c r="K4">
        <v>2</v>
      </c>
      <c r="N4">
        <v>98</v>
      </c>
      <c r="Q4" s="2"/>
      <c r="R4" s="2"/>
      <c r="S4" s="2">
        <v>1</v>
      </c>
      <c r="T4" s="2" t="s">
        <v>155</v>
      </c>
      <c r="U4" s="2"/>
      <c r="V4" s="2"/>
      <c r="W4" s="2">
        <v>54</v>
      </c>
      <c r="X4" s="2"/>
      <c r="Y4" s="2"/>
      <c r="Z4" s="2" t="s">
        <v>155</v>
      </c>
      <c r="AA4" s="2"/>
      <c r="AB4" s="2"/>
      <c r="AC4" s="2" t="s">
        <v>155</v>
      </c>
      <c r="AD4" s="2"/>
      <c r="AE4" s="2"/>
      <c r="AF4" s="2" t="s">
        <v>155</v>
      </c>
      <c r="AG4" s="2"/>
      <c r="AH4" s="2"/>
      <c r="AI4" s="2">
        <v>23</v>
      </c>
      <c r="AJ4" s="2"/>
      <c r="AK4" s="2"/>
      <c r="AL4" s="2" t="s">
        <v>155</v>
      </c>
      <c r="AM4" s="2"/>
      <c r="AN4" s="2"/>
      <c r="AO4" s="2" t="s">
        <v>155</v>
      </c>
      <c r="AP4" s="2"/>
      <c r="AQ4" s="2"/>
      <c r="AR4" s="2">
        <v>13</v>
      </c>
      <c r="AS4" s="2"/>
      <c r="AT4" s="2"/>
      <c r="AU4" s="2" t="s">
        <v>155</v>
      </c>
      <c r="AV4" s="2"/>
      <c r="AW4" s="2"/>
      <c r="AX4" s="2" t="s">
        <v>155</v>
      </c>
      <c r="AY4" s="2"/>
      <c r="AZ4" s="2"/>
      <c r="BA4" s="2" t="s">
        <v>155</v>
      </c>
      <c r="BB4" s="2"/>
      <c r="BC4" s="2"/>
      <c r="BD4" s="2" t="s">
        <v>155</v>
      </c>
      <c r="BE4" s="2"/>
      <c r="BF4" s="2"/>
      <c r="BG4" s="2"/>
      <c r="BH4" s="2"/>
      <c r="BI4" s="2">
        <v>0.05</v>
      </c>
    </row>
    <row r="5" spans="1:61" x14ac:dyDescent="0.2">
      <c r="A5" t="s">
        <v>156</v>
      </c>
      <c r="B5" t="s">
        <v>157</v>
      </c>
      <c r="C5" t="s">
        <v>158</v>
      </c>
      <c r="D5" t="s">
        <v>159</v>
      </c>
      <c r="E5" s="1" t="s">
        <v>8</v>
      </c>
      <c r="F5" s="1" t="s">
        <v>153</v>
      </c>
      <c r="G5" t="s">
        <v>161</v>
      </c>
      <c r="H5" t="s">
        <v>155</v>
      </c>
      <c r="M5">
        <v>1</v>
      </c>
      <c r="N5">
        <v>25</v>
      </c>
      <c r="Q5" s="2"/>
      <c r="R5" s="2"/>
      <c r="S5" s="2">
        <v>1</v>
      </c>
      <c r="T5" s="2" t="s">
        <v>155</v>
      </c>
      <c r="U5" s="2"/>
      <c r="V5" s="2"/>
      <c r="W5" s="2">
        <v>27</v>
      </c>
      <c r="X5" s="2"/>
      <c r="Y5" s="2"/>
      <c r="Z5" s="2" t="s">
        <v>155</v>
      </c>
      <c r="AA5" s="2"/>
      <c r="AB5" s="2"/>
      <c r="AC5" s="2" t="s">
        <v>155</v>
      </c>
      <c r="AD5" s="2"/>
      <c r="AE5" s="2"/>
      <c r="AF5" s="2" t="s">
        <v>155</v>
      </c>
      <c r="AG5" s="2"/>
      <c r="AH5" s="2"/>
      <c r="AI5" s="2">
        <v>3</v>
      </c>
      <c r="AJ5" s="2"/>
      <c r="AK5" s="2"/>
      <c r="AL5" s="2" t="s">
        <v>155</v>
      </c>
      <c r="AM5" s="2"/>
      <c r="AN5" s="2"/>
      <c r="AO5" s="2" t="s">
        <v>155</v>
      </c>
      <c r="AP5" s="2"/>
      <c r="AQ5" s="2"/>
      <c r="AR5" s="2">
        <v>7</v>
      </c>
      <c r="AS5" s="2"/>
      <c r="AT5" s="2"/>
      <c r="AU5" s="2" t="s">
        <v>155</v>
      </c>
      <c r="AV5" s="2"/>
      <c r="AW5" s="2"/>
      <c r="AX5" s="2" t="s">
        <v>155</v>
      </c>
      <c r="AY5" s="2"/>
      <c r="AZ5" s="2"/>
      <c r="BA5" s="2" t="s">
        <v>155</v>
      </c>
      <c r="BB5" s="2"/>
      <c r="BC5" s="2"/>
      <c r="BD5" t="s">
        <v>155</v>
      </c>
      <c r="BG5" s="2"/>
      <c r="BH5" s="2"/>
      <c r="BI5" s="2">
        <v>0.05</v>
      </c>
    </row>
    <row r="6" spans="1:61" x14ac:dyDescent="0.2">
      <c r="A6" t="s">
        <v>156</v>
      </c>
      <c r="B6" t="s">
        <v>162</v>
      </c>
      <c r="C6" t="s">
        <v>158</v>
      </c>
      <c r="D6" t="s">
        <v>159</v>
      </c>
      <c r="E6" s="1" t="s">
        <v>8</v>
      </c>
      <c r="F6" s="1" t="s">
        <v>153</v>
      </c>
      <c r="G6" t="s">
        <v>163</v>
      </c>
      <c r="H6" t="s">
        <v>155</v>
      </c>
      <c r="M6">
        <v>1</v>
      </c>
      <c r="N6">
        <v>21</v>
      </c>
      <c r="Q6" s="2"/>
      <c r="R6" s="2"/>
      <c r="S6" s="2">
        <v>1</v>
      </c>
      <c r="T6" s="2" t="s">
        <v>155</v>
      </c>
      <c r="U6" s="2"/>
      <c r="V6" s="2"/>
      <c r="W6" s="2">
        <v>10</v>
      </c>
      <c r="X6" s="2"/>
      <c r="Y6" s="2"/>
      <c r="Z6" s="2" t="s">
        <v>155</v>
      </c>
      <c r="AA6" s="2"/>
      <c r="AB6" s="2"/>
      <c r="AC6" s="2" t="s">
        <v>155</v>
      </c>
      <c r="AD6" s="2"/>
      <c r="AE6" s="2"/>
      <c r="AF6" s="2" t="s">
        <v>155</v>
      </c>
      <c r="AG6" s="2"/>
      <c r="AH6" s="2"/>
      <c r="AI6" s="2">
        <v>3</v>
      </c>
      <c r="AJ6" s="2"/>
      <c r="AK6" s="2"/>
      <c r="AL6" s="2" t="s">
        <v>155</v>
      </c>
      <c r="AM6" s="2"/>
      <c r="AN6" s="2"/>
      <c r="AO6" s="2" t="s">
        <v>155</v>
      </c>
      <c r="AP6" s="2"/>
      <c r="AQ6" s="2"/>
      <c r="AR6" s="2">
        <v>6</v>
      </c>
      <c r="AS6" s="2"/>
      <c r="AT6" s="2"/>
      <c r="AU6" s="2" t="s">
        <v>155</v>
      </c>
      <c r="AV6" s="2"/>
      <c r="AW6" s="2"/>
      <c r="AX6" s="2" t="s">
        <v>155</v>
      </c>
      <c r="AY6" s="2"/>
      <c r="AZ6" s="2"/>
      <c r="BA6" t="s">
        <v>155</v>
      </c>
      <c r="BD6" t="s">
        <v>155</v>
      </c>
      <c r="BG6" s="2"/>
      <c r="BH6" s="2"/>
      <c r="BI6" s="2">
        <v>0.05</v>
      </c>
    </row>
    <row r="7" spans="1:61" x14ac:dyDescent="0.2">
      <c r="A7" t="s">
        <v>164</v>
      </c>
      <c r="B7" t="s">
        <v>165</v>
      </c>
      <c r="C7" t="s">
        <v>166</v>
      </c>
      <c r="D7" t="s">
        <v>167</v>
      </c>
      <c r="E7" s="1" t="s">
        <v>168</v>
      </c>
      <c r="F7" s="1" t="s">
        <v>140</v>
      </c>
      <c r="G7" t="s">
        <v>169</v>
      </c>
      <c r="H7" t="s">
        <v>155</v>
      </c>
      <c r="M7">
        <v>1</v>
      </c>
      <c r="N7">
        <v>66</v>
      </c>
      <c r="Q7" s="2"/>
      <c r="R7" s="2"/>
      <c r="S7" s="2">
        <v>1</v>
      </c>
      <c r="T7" s="2" t="s">
        <v>155</v>
      </c>
      <c r="U7" s="2"/>
      <c r="V7" s="2"/>
      <c r="W7" s="2">
        <v>14</v>
      </c>
      <c r="X7" s="2"/>
      <c r="Y7" s="2"/>
      <c r="Z7" s="2"/>
      <c r="AA7" s="2"/>
      <c r="AB7" s="2"/>
      <c r="AC7" s="2">
        <v>7</v>
      </c>
      <c r="AD7" s="2"/>
      <c r="AE7" s="2"/>
      <c r="AF7" s="2">
        <v>10622</v>
      </c>
      <c r="AG7" s="2"/>
      <c r="AH7" s="2"/>
      <c r="AI7" s="2">
        <v>17</v>
      </c>
      <c r="AJ7" s="2"/>
      <c r="AK7" s="2"/>
      <c r="AL7" s="2" t="s">
        <v>155</v>
      </c>
      <c r="AM7" s="2"/>
      <c r="AN7" s="2"/>
      <c r="AO7" s="2" t="s">
        <v>155</v>
      </c>
      <c r="AP7" s="2"/>
      <c r="AQ7" s="2"/>
      <c r="AR7" s="2">
        <v>5</v>
      </c>
      <c r="AS7" s="2"/>
      <c r="AT7" s="2"/>
      <c r="AU7" s="2" t="s">
        <v>155</v>
      </c>
      <c r="AV7" s="2"/>
      <c r="AW7" s="2"/>
      <c r="AX7" s="2" t="s">
        <v>155</v>
      </c>
      <c r="AY7" s="2"/>
      <c r="AZ7" s="2"/>
      <c r="BA7" t="s">
        <v>155</v>
      </c>
      <c r="BD7">
        <v>29</v>
      </c>
      <c r="BG7" s="2"/>
      <c r="BH7" s="2"/>
      <c r="BI7" s="2">
        <v>0.05</v>
      </c>
    </row>
    <row r="8" spans="1:61" x14ac:dyDescent="0.2">
      <c r="A8" t="s">
        <v>149</v>
      </c>
      <c r="B8" t="s">
        <v>170</v>
      </c>
      <c r="C8" t="s">
        <v>151</v>
      </c>
      <c r="D8" t="s">
        <v>152</v>
      </c>
      <c r="E8" s="1" t="s">
        <v>8</v>
      </c>
      <c r="F8" s="1" t="s">
        <v>141</v>
      </c>
      <c r="G8" t="s">
        <v>171</v>
      </c>
      <c r="H8">
        <v>47000</v>
      </c>
      <c r="M8">
        <v>2</v>
      </c>
      <c r="N8">
        <v>120</v>
      </c>
      <c r="Q8" s="2"/>
      <c r="R8" s="2"/>
      <c r="S8" s="2">
        <v>0.83</v>
      </c>
      <c r="T8" s="2">
        <v>980</v>
      </c>
      <c r="U8" s="2"/>
      <c r="V8" s="2"/>
      <c r="W8" s="2">
        <v>110</v>
      </c>
      <c r="X8" s="2"/>
      <c r="Y8" s="2"/>
      <c r="Z8" s="2">
        <v>84</v>
      </c>
      <c r="AA8" s="2"/>
      <c r="AB8" s="2"/>
      <c r="AC8" s="2">
        <v>59</v>
      </c>
      <c r="AD8" s="2"/>
      <c r="AE8" s="2"/>
      <c r="AF8" s="2">
        <v>100000</v>
      </c>
      <c r="AG8" s="2"/>
      <c r="AH8" s="2"/>
      <c r="AI8" s="2">
        <v>7.6</v>
      </c>
      <c r="AJ8" s="2"/>
      <c r="AK8" s="2"/>
      <c r="AL8" s="2">
        <v>1400</v>
      </c>
      <c r="AM8" s="2"/>
      <c r="AN8" s="2"/>
      <c r="AO8" s="2">
        <v>1700</v>
      </c>
      <c r="AP8" s="2"/>
      <c r="AQ8" s="2"/>
      <c r="AR8" s="2">
        <v>39</v>
      </c>
      <c r="AS8" s="2"/>
      <c r="AT8" s="2"/>
      <c r="AU8" s="2">
        <v>810</v>
      </c>
      <c r="AV8" s="2"/>
      <c r="AW8" s="2"/>
      <c r="AX8" s="2"/>
      <c r="AY8" s="2"/>
      <c r="AZ8" s="2">
        <v>110</v>
      </c>
      <c r="BA8">
        <v>380</v>
      </c>
      <c r="BD8">
        <v>67</v>
      </c>
      <c r="BG8" s="2" t="s">
        <v>155</v>
      </c>
      <c r="BH8" s="2"/>
      <c r="BI8" s="2"/>
    </row>
    <row r="9" spans="1:61" x14ac:dyDescent="0.2">
      <c r="A9" t="s">
        <v>164</v>
      </c>
      <c r="B9" t="s">
        <v>165</v>
      </c>
      <c r="C9" t="s">
        <v>166</v>
      </c>
      <c r="D9" t="s">
        <v>167</v>
      </c>
      <c r="E9" s="1" t="s">
        <v>168</v>
      </c>
      <c r="F9" s="1" t="s">
        <v>140</v>
      </c>
      <c r="G9" t="s">
        <v>172</v>
      </c>
      <c r="H9" t="s">
        <v>155</v>
      </c>
      <c r="M9">
        <v>1</v>
      </c>
      <c r="N9">
        <v>62</v>
      </c>
      <c r="Q9" s="2"/>
      <c r="R9" s="2"/>
      <c r="S9" s="2">
        <v>1</v>
      </c>
      <c r="T9" s="2" t="s">
        <v>155</v>
      </c>
      <c r="U9" s="2"/>
      <c r="V9" s="2"/>
      <c r="W9" s="2">
        <v>14.5</v>
      </c>
      <c r="X9" s="2"/>
      <c r="Y9" s="2"/>
      <c r="Z9" s="2"/>
      <c r="AA9" s="2"/>
      <c r="AB9" s="2"/>
      <c r="AC9" s="2">
        <v>6</v>
      </c>
      <c r="AD9" s="2"/>
      <c r="AE9" s="2"/>
      <c r="AF9" s="2">
        <v>13016</v>
      </c>
      <c r="AG9" s="2"/>
      <c r="AH9" s="2"/>
      <c r="AI9" s="2">
        <v>23</v>
      </c>
      <c r="AJ9" s="2"/>
      <c r="AK9" s="2"/>
      <c r="AL9" s="2" t="s">
        <v>155</v>
      </c>
      <c r="AM9" s="2"/>
      <c r="AN9" s="2"/>
      <c r="AO9" s="2" t="s">
        <v>155</v>
      </c>
      <c r="AP9" s="2"/>
      <c r="AQ9" s="2"/>
      <c r="AR9" s="2">
        <v>4.5</v>
      </c>
      <c r="AS9" s="2"/>
      <c r="AT9" s="2"/>
      <c r="AU9" s="2" t="s">
        <v>155</v>
      </c>
      <c r="AV9" s="2"/>
      <c r="AW9" s="2"/>
      <c r="AX9" s="2" t="s">
        <v>155</v>
      </c>
      <c r="AY9" s="2"/>
      <c r="AZ9" s="2"/>
      <c r="BA9" t="s">
        <v>155</v>
      </c>
      <c r="BD9">
        <v>24</v>
      </c>
      <c r="BG9" s="2"/>
      <c r="BH9" s="2"/>
      <c r="BI9" s="2">
        <v>0.05</v>
      </c>
    </row>
    <row r="10" spans="1:61" x14ac:dyDescent="0.2">
      <c r="A10" t="s">
        <v>164</v>
      </c>
      <c r="B10" t="s">
        <v>165</v>
      </c>
      <c r="C10" t="s">
        <v>166</v>
      </c>
      <c r="D10" t="s">
        <v>167</v>
      </c>
      <c r="E10" s="1" t="s">
        <v>168</v>
      </c>
      <c r="F10" s="1" t="s">
        <v>153</v>
      </c>
      <c r="G10" t="s">
        <v>173</v>
      </c>
      <c r="H10" t="s">
        <v>155</v>
      </c>
      <c r="M10">
        <v>1</v>
      </c>
      <c r="N10">
        <v>58</v>
      </c>
      <c r="Q10" s="2"/>
      <c r="R10" s="2"/>
      <c r="S10" s="2">
        <v>1</v>
      </c>
      <c r="T10" s="2" t="s">
        <v>155</v>
      </c>
      <c r="U10" s="2"/>
      <c r="V10" s="2"/>
      <c r="W10" s="2">
        <v>15</v>
      </c>
      <c r="X10" s="2"/>
      <c r="Y10" s="2"/>
      <c r="Z10" s="2"/>
      <c r="AA10" s="2"/>
      <c r="AB10" s="2"/>
      <c r="AC10" s="2">
        <v>9.5</v>
      </c>
      <c r="AD10" s="2"/>
      <c r="AE10" s="2"/>
      <c r="AF10" s="2">
        <v>8210</v>
      </c>
      <c r="AG10" s="2"/>
      <c r="AH10" s="2"/>
      <c r="AI10" s="2">
        <v>16</v>
      </c>
      <c r="AJ10" s="2"/>
      <c r="AK10" s="2"/>
      <c r="AL10" s="2" t="s">
        <v>155</v>
      </c>
      <c r="AM10" s="2"/>
      <c r="AN10" s="2"/>
      <c r="AO10" s="2" t="s">
        <v>155</v>
      </c>
      <c r="AP10" s="2"/>
      <c r="AQ10" s="2"/>
      <c r="AR10" s="2">
        <v>4.5</v>
      </c>
      <c r="AS10" s="2"/>
      <c r="AT10" s="2"/>
      <c r="AU10" s="2" t="s">
        <v>155</v>
      </c>
      <c r="AV10" s="2"/>
      <c r="AW10" s="2"/>
      <c r="AX10" s="2" t="s">
        <v>155</v>
      </c>
      <c r="AY10" s="2"/>
      <c r="AZ10" s="2"/>
      <c r="BA10" t="s">
        <v>155</v>
      </c>
      <c r="BD10">
        <v>17</v>
      </c>
      <c r="BG10" s="2" t="s">
        <v>174</v>
      </c>
      <c r="BH10" s="2"/>
      <c r="BI10" s="2">
        <v>0.02</v>
      </c>
    </row>
    <row r="11" spans="1:61" x14ac:dyDescent="0.2">
      <c r="A11" t="s">
        <v>164</v>
      </c>
      <c r="B11" t="s">
        <v>165</v>
      </c>
      <c r="C11" t="s">
        <v>166</v>
      </c>
      <c r="D11" t="s">
        <v>167</v>
      </c>
      <c r="E11" s="1" t="s">
        <v>168</v>
      </c>
      <c r="F11" s="1" t="s">
        <v>153</v>
      </c>
      <c r="G11" t="s">
        <v>175</v>
      </c>
      <c r="H11" t="s">
        <v>155</v>
      </c>
      <c r="K11">
        <v>1</v>
      </c>
      <c r="N11">
        <v>45</v>
      </c>
      <c r="Q11" s="2"/>
      <c r="R11" s="2"/>
      <c r="S11" s="2">
        <v>1</v>
      </c>
      <c r="T11" s="2" t="s">
        <v>155</v>
      </c>
      <c r="U11" s="2"/>
      <c r="V11" s="2"/>
      <c r="W11" s="2">
        <v>12</v>
      </c>
      <c r="X11" s="2"/>
      <c r="Y11" s="2"/>
      <c r="Z11" s="2"/>
      <c r="AA11" s="2"/>
      <c r="AB11" s="2"/>
      <c r="AC11" s="2">
        <v>8.5</v>
      </c>
      <c r="AD11" s="2"/>
      <c r="AE11" s="2"/>
      <c r="AF11" s="2">
        <v>6169</v>
      </c>
      <c r="AG11" s="2"/>
      <c r="AH11" s="2"/>
      <c r="AI11" s="2">
        <v>14</v>
      </c>
      <c r="AJ11" s="2"/>
      <c r="AK11" s="2"/>
      <c r="AL11" s="2" t="s">
        <v>155</v>
      </c>
      <c r="AM11" s="2"/>
      <c r="AN11" s="2"/>
      <c r="AO11" s="2" t="s">
        <v>155</v>
      </c>
      <c r="AP11" s="2"/>
      <c r="AQ11" s="2"/>
      <c r="AR11" s="2">
        <v>3.5</v>
      </c>
      <c r="AS11" s="2"/>
      <c r="AT11" s="2"/>
      <c r="AU11" s="2" t="s">
        <v>155</v>
      </c>
      <c r="AV11" s="2"/>
      <c r="AW11" s="2"/>
      <c r="AX11" s="2" t="s">
        <v>155</v>
      </c>
      <c r="AY11" s="2"/>
      <c r="AZ11" s="2"/>
      <c r="BA11" t="s">
        <v>155</v>
      </c>
      <c r="BD11">
        <v>13.5</v>
      </c>
      <c r="BG11" s="2"/>
      <c r="BH11" s="2"/>
      <c r="BI11" s="2">
        <v>0.02</v>
      </c>
    </row>
    <row r="12" spans="1:61" x14ac:dyDescent="0.2">
      <c r="A12" t="s">
        <v>164</v>
      </c>
      <c r="B12" t="s">
        <v>165</v>
      </c>
      <c r="C12" t="s">
        <v>166</v>
      </c>
      <c r="D12" t="s">
        <v>167</v>
      </c>
      <c r="E12" s="1" t="s">
        <v>168</v>
      </c>
      <c r="F12" s="1" t="s">
        <v>153</v>
      </c>
      <c r="G12" t="s">
        <v>176</v>
      </c>
      <c r="H12" t="s">
        <v>155</v>
      </c>
      <c r="M12">
        <v>1</v>
      </c>
      <c r="N12">
        <v>9</v>
      </c>
      <c r="Q12" s="2"/>
      <c r="R12" s="2"/>
      <c r="S12" s="2">
        <v>1</v>
      </c>
      <c r="T12" s="2" t="s">
        <v>155</v>
      </c>
      <c r="U12" s="2"/>
      <c r="V12" s="2"/>
      <c r="W12" s="2">
        <v>2</v>
      </c>
      <c r="X12" s="2"/>
      <c r="Y12" s="2"/>
      <c r="Z12" s="2"/>
      <c r="AA12" s="2"/>
      <c r="AB12" s="2"/>
      <c r="AC12" s="2">
        <v>7</v>
      </c>
      <c r="AD12" s="2"/>
      <c r="AE12" s="2"/>
      <c r="AF12" s="2">
        <v>869</v>
      </c>
      <c r="AG12" s="2"/>
      <c r="AH12" s="2"/>
      <c r="AI12" s="2">
        <v>4</v>
      </c>
      <c r="AJ12" s="2"/>
      <c r="AK12" s="2"/>
      <c r="AL12" s="2" t="s">
        <v>155</v>
      </c>
      <c r="AM12" s="2"/>
      <c r="AN12" s="2"/>
      <c r="AO12" s="2" t="s">
        <v>155</v>
      </c>
      <c r="AP12" s="2"/>
      <c r="AQ12" s="2"/>
      <c r="AR12" s="2">
        <v>2.5</v>
      </c>
      <c r="AS12" s="2"/>
      <c r="AT12" s="2"/>
      <c r="AU12" s="2" t="s">
        <v>155</v>
      </c>
      <c r="AV12" s="2"/>
      <c r="AW12" s="2"/>
      <c r="AX12" s="2" t="s">
        <v>155</v>
      </c>
      <c r="BA12" t="s">
        <v>155</v>
      </c>
      <c r="BD12">
        <v>8.5</v>
      </c>
      <c r="BG12" s="2"/>
      <c r="BH12" s="2"/>
      <c r="BI12" s="2">
        <v>0.02</v>
      </c>
    </row>
    <row r="13" spans="1:61" x14ac:dyDescent="0.2">
      <c r="A13" t="s">
        <v>164</v>
      </c>
      <c r="B13" t="s">
        <v>165</v>
      </c>
      <c r="C13" t="s">
        <v>166</v>
      </c>
      <c r="D13" t="s">
        <v>167</v>
      </c>
      <c r="E13" s="1" t="s">
        <v>168</v>
      </c>
      <c r="F13" s="1" t="s">
        <v>153</v>
      </c>
      <c r="G13" t="s">
        <v>177</v>
      </c>
      <c r="H13" t="s">
        <v>155</v>
      </c>
      <c r="M13">
        <v>1</v>
      </c>
      <c r="N13">
        <v>9</v>
      </c>
      <c r="Q13" s="2"/>
      <c r="R13" s="2"/>
      <c r="S13" s="2">
        <v>1</v>
      </c>
      <c r="T13" s="2" t="s">
        <v>155</v>
      </c>
      <c r="U13" s="2"/>
      <c r="V13" s="2"/>
      <c r="W13" s="2">
        <v>2.5</v>
      </c>
      <c r="X13" s="2"/>
      <c r="Y13" s="2"/>
      <c r="Z13" s="2"/>
      <c r="AA13" s="2"/>
      <c r="AB13" s="2"/>
      <c r="AC13" s="2">
        <v>6.5</v>
      </c>
      <c r="AD13" s="2"/>
      <c r="AE13" s="2"/>
      <c r="AF13" s="2">
        <v>781</v>
      </c>
      <c r="AG13" s="2"/>
      <c r="AH13" s="2"/>
      <c r="AI13" s="2">
        <v>4</v>
      </c>
      <c r="AJ13" s="2"/>
      <c r="AK13" s="2"/>
      <c r="AL13" s="2" t="s">
        <v>155</v>
      </c>
      <c r="AM13" s="2"/>
      <c r="AN13" s="2"/>
      <c r="AO13" s="2" t="s">
        <v>155</v>
      </c>
      <c r="AP13" s="2"/>
      <c r="AQ13" s="2"/>
      <c r="AR13" s="2">
        <v>2</v>
      </c>
      <c r="AS13" s="2"/>
      <c r="AT13" s="2"/>
      <c r="AU13" s="2" t="s">
        <v>155</v>
      </c>
      <c r="AV13" s="2"/>
      <c r="AW13" s="2"/>
      <c r="AX13" s="2" t="s">
        <v>155</v>
      </c>
      <c r="BA13" t="s">
        <v>155</v>
      </c>
      <c r="BD13">
        <v>8.5</v>
      </c>
      <c r="BG13" s="2"/>
      <c r="BH13" s="2"/>
      <c r="BI13" s="2">
        <v>0.02</v>
      </c>
    </row>
    <row r="14" spans="1:61" x14ac:dyDescent="0.2">
      <c r="A14" t="s">
        <v>178</v>
      </c>
      <c r="B14" t="s">
        <v>179</v>
      </c>
      <c r="C14" t="s">
        <v>180</v>
      </c>
      <c r="D14" t="s">
        <v>136</v>
      </c>
      <c r="E14" s="1" t="s">
        <v>8</v>
      </c>
      <c r="F14" s="1" t="s">
        <v>140</v>
      </c>
      <c r="G14" t="s">
        <v>181</v>
      </c>
      <c r="H14" t="s">
        <v>155</v>
      </c>
      <c r="M14">
        <v>3.9</v>
      </c>
      <c r="N14">
        <v>53</v>
      </c>
      <c r="Q14" s="2"/>
      <c r="R14" s="2"/>
      <c r="S14" s="2">
        <v>9.8000000000000007</v>
      </c>
      <c r="T14" s="2" t="s">
        <v>155</v>
      </c>
      <c r="U14" s="2"/>
      <c r="V14" s="2"/>
      <c r="W14" s="2">
        <v>16</v>
      </c>
      <c r="X14" s="2"/>
      <c r="Y14" s="2"/>
      <c r="Z14" s="2" t="s">
        <v>155</v>
      </c>
      <c r="AA14" s="2"/>
      <c r="AB14" s="2"/>
      <c r="AC14" s="2" t="s">
        <v>155</v>
      </c>
      <c r="AD14" s="2"/>
      <c r="AE14" s="2"/>
      <c r="AF14" s="2" t="s">
        <v>155</v>
      </c>
      <c r="AG14" s="2"/>
      <c r="AH14" s="2"/>
      <c r="AI14" s="2">
        <v>90</v>
      </c>
      <c r="AJ14" s="2"/>
      <c r="AK14" s="2"/>
      <c r="AL14" s="2" t="s">
        <v>155</v>
      </c>
      <c r="AM14" s="2"/>
      <c r="AN14" s="2"/>
      <c r="AO14" s="2" t="s">
        <v>155</v>
      </c>
      <c r="AP14" s="2"/>
      <c r="AQ14" s="2"/>
      <c r="AR14" s="2" t="s">
        <v>155</v>
      </c>
      <c r="AS14" s="2"/>
      <c r="AT14" s="2"/>
      <c r="AU14" s="2" t="s">
        <v>155</v>
      </c>
      <c r="AV14" s="2"/>
      <c r="AW14" s="2"/>
      <c r="AX14" s="2" t="s">
        <v>155</v>
      </c>
      <c r="BA14" t="s">
        <v>155</v>
      </c>
      <c r="BD14">
        <v>51</v>
      </c>
      <c r="BG14" s="2">
        <v>0.45</v>
      </c>
      <c r="BH14" s="2"/>
      <c r="BI14" s="2"/>
    </row>
    <row r="15" spans="1:61" x14ac:dyDescent="0.2">
      <c r="A15" t="s">
        <v>182</v>
      </c>
      <c r="B15" t="s">
        <v>183</v>
      </c>
      <c r="C15" t="s">
        <v>184</v>
      </c>
      <c r="D15" t="s">
        <v>185</v>
      </c>
      <c r="E15" s="1" t="s">
        <v>8</v>
      </c>
      <c r="F15" s="1" t="s">
        <v>140</v>
      </c>
      <c r="G15" t="s">
        <v>186</v>
      </c>
      <c r="H15">
        <v>5470</v>
      </c>
      <c r="L15" s="16">
        <f>(0.5*1.74)</f>
        <v>0.87</v>
      </c>
      <c r="O15" s="16">
        <f>(8.5*3.99)</f>
        <v>33.914999999999999</v>
      </c>
      <c r="S15">
        <v>0.79</v>
      </c>
      <c r="T15">
        <v>110</v>
      </c>
      <c r="W15">
        <v>3.9</v>
      </c>
      <c r="AB15">
        <v>2.6</v>
      </c>
      <c r="AE15">
        <v>3.2</v>
      </c>
      <c r="AG15" s="16">
        <f>(7170*1.34)</f>
        <v>9607.8000000000011</v>
      </c>
      <c r="AJ15" s="16">
        <f>(5.3*1.44)</f>
        <v>7.6319999999999997</v>
      </c>
      <c r="AM15" s="16">
        <f>(109*1.23)</f>
        <v>134.07</v>
      </c>
      <c r="AP15" s="16">
        <f>(3*1.24)</f>
        <v>3.7199999999999998</v>
      </c>
      <c r="AT15">
        <v>5.3</v>
      </c>
      <c r="AU15" s="2" t="s">
        <v>155</v>
      </c>
      <c r="AY15" s="16">
        <f>(19.9*25.43)</f>
        <v>506.05699999999996</v>
      </c>
      <c r="BA15">
        <v>11.1</v>
      </c>
      <c r="BF15">
        <v>3</v>
      </c>
      <c r="BI15">
        <v>0.05</v>
      </c>
    </row>
    <row r="16" spans="1:61" x14ac:dyDescent="0.2">
      <c r="A16" t="s">
        <v>182</v>
      </c>
      <c r="B16" t="s">
        <v>183</v>
      </c>
      <c r="C16" t="s">
        <v>184</v>
      </c>
      <c r="D16" t="s">
        <v>185</v>
      </c>
      <c r="E16" s="1" t="s">
        <v>8</v>
      </c>
      <c r="F16" s="1" t="s">
        <v>153</v>
      </c>
      <c r="G16" t="s">
        <v>187</v>
      </c>
      <c r="H16" t="s">
        <v>155</v>
      </c>
      <c r="M16">
        <v>4</v>
      </c>
      <c r="P16">
        <v>10</v>
      </c>
      <c r="S16" s="2">
        <v>16</v>
      </c>
      <c r="T16" s="2" t="s">
        <v>155</v>
      </c>
      <c r="Y16">
        <v>19</v>
      </c>
      <c r="Z16" t="s">
        <v>155</v>
      </c>
      <c r="AC16" t="s">
        <v>155</v>
      </c>
      <c r="AF16" t="s">
        <v>155</v>
      </c>
      <c r="AK16">
        <v>20</v>
      </c>
      <c r="AL16" s="2" t="s">
        <v>155</v>
      </c>
      <c r="AO16" s="2" t="s">
        <v>155</v>
      </c>
      <c r="AR16" t="s">
        <v>155</v>
      </c>
      <c r="AU16" s="2" t="s">
        <v>155</v>
      </c>
      <c r="AX16" s="2" t="s">
        <v>155</v>
      </c>
      <c r="BA16" t="s">
        <v>155</v>
      </c>
      <c r="BD16" t="s">
        <v>155</v>
      </c>
      <c r="BI16" s="2">
        <v>0.09</v>
      </c>
    </row>
    <row r="17" spans="1:61" x14ac:dyDescent="0.2">
      <c r="A17" s="10" t="s">
        <v>188</v>
      </c>
      <c r="B17" s="10" t="s">
        <v>189</v>
      </c>
      <c r="C17" s="10" t="s">
        <v>190</v>
      </c>
      <c r="D17" s="10" t="s">
        <v>191</v>
      </c>
      <c r="E17" s="11" t="s">
        <v>168</v>
      </c>
      <c r="F17" s="11" t="s">
        <v>141</v>
      </c>
      <c r="G17" s="10" t="s">
        <v>192</v>
      </c>
      <c r="H17">
        <v>7800</v>
      </c>
      <c r="M17">
        <v>2</v>
      </c>
      <c r="N17">
        <v>19</v>
      </c>
      <c r="S17">
        <v>0.15</v>
      </c>
      <c r="T17">
        <v>500</v>
      </c>
      <c r="W17">
        <v>37</v>
      </c>
      <c r="Z17">
        <v>1.8</v>
      </c>
      <c r="AC17">
        <v>26</v>
      </c>
      <c r="AG17" s="16">
        <f>(43000*1.34)</f>
        <v>57620</v>
      </c>
      <c r="AI17">
        <v>13</v>
      </c>
      <c r="AL17">
        <v>990</v>
      </c>
      <c r="AO17">
        <v>990</v>
      </c>
      <c r="AR17">
        <v>5.2</v>
      </c>
      <c r="AU17">
        <v>61</v>
      </c>
      <c r="AZ17">
        <v>170</v>
      </c>
      <c r="BA17">
        <v>43</v>
      </c>
      <c r="BE17" s="16">
        <f>(21*1.5)</f>
        <v>31.5</v>
      </c>
      <c r="BI17">
        <v>0.06</v>
      </c>
    </row>
    <row r="18" spans="1:61" x14ac:dyDescent="0.2">
      <c r="A18" s="10" t="s">
        <v>188</v>
      </c>
      <c r="B18" s="10" t="s">
        <v>193</v>
      </c>
      <c r="C18" s="10" t="s">
        <v>190</v>
      </c>
      <c r="D18" s="10" t="s">
        <v>191</v>
      </c>
      <c r="E18" s="11" t="s">
        <v>168</v>
      </c>
      <c r="F18" s="11" t="s">
        <v>140</v>
      </c>
      <c r="G18" s="10" t="s">
        <v>194</v>
      </c>
      <c r="H18">
        <v>10000</v>
      </c>
      <c r="M18">
        <v>5.0999999999999996</v>
      </c>
      <c r="N18">
        <v>91</v>
      </c>
      <c r="S18">
        <v>0.15</v>
      </c>
      <c r="T18">
        <v>1300</v>
      </c>
      <c r="W18">
        <v>34</v>
      </c>
      <c r="Z18">
        <v>5.9</v>
      </c>
      <c r="AC18">
        <v>22</v>
      </c>
      <c r="AG18" s="16">
        <f>(36000*1.34)</f>
        <v>48240</v>
      </c>
      <c r="AI18">
        <v>36</v>
      </c>
      <c r="AL18">
        <v>1100</v>
      </c>
      <c r="AO18">
        <v>440</v>
      </c>
      <c r="AR18">
        <v>7.6</v>
      </c>
      <c r="AU18">
        <v>570</v>
      </c>
      <c r="AZ18">
        <v>96</v>
      </c>
      <c r="BA18">
        <v>43</v>
      </c>
      <c r="BD18">
        <v>180</v>
      </c>
      <c r="BG18">
        <v>0.21</v>
      </c>
    </row>
    <row r="19" spans="1:61" x14ac:dyDescent="0.2">
      <c r="A19" s="10" t="s">
        <v>188</v>
      </c>
      <c r="B19" s="10" t="s">
        <v>189</v>
      </c>
      <c r="C19" s="10" t="s">
        <v>190</v>
      </c>
      <c r="D19" s="10" t="s">
        <v>191</v>
      </c>
      <c r="E19" s="11" t="s">
        <v>168</v>
      </c>
      <c r="F19" s="11" t="s">
        <v>140</v>
      </c>
      <c r="G19" s="10" t="s">
        <v>195</v>
      </c>
      <c r="H19">
        <v>11000</v>
      </c>
      <c r="M19">
        <v>5.4</v>
      </c>
      <c r="N19">
        <v>94</v>
      </c>
      <c r="S19">
        <v>0.15</v>
      </c>
      <c r="T19">
        <v>1900</v>
      </c>
      <c r="W19">
        <v>42</v>
      </c>
      <c r="Z19">
        <v>5.8</v>
      </c>
      <c r="AC19">
        <v>25</v>
      </c>
      <c r="AG19" s="16">
        <f>(37000*1.34)</f>
        <v>49580</v>
      </c>
      <c r="AI19">
        <v>36</v>
      </c>
      <c r="AL19">
        <v>1200</v>
      </c>
      <c r="AO19">
        <v>420</v>
      </c>
      <c r="AR19">
        <v>8</v>
      </c>
      <c r="AU19">
        <v>500</v>
      </c>
      <c r="AZ19">
        <v>180</v>
      </c>
      <c r="BA19">
        <v>46</v>
      </c>
      <c r="BD19">
        <v>240</v>
      </c>
      <c r="BG19">
        <v>0.18</v>
      </c>
    </row>
    <row r="20" spans="1:61" x14ac:dyDescent="0.2">
      <c r="A20" s="10" t="s">
        <v>188</v>
      </c>
      <c r="B20" s="10" t="s">
        <v>189</v>
      </c>
      <c r="C20" s="10" t="s">
        <v>190</v>
      </c>
      <c r="D20" s="10" t="s">
        <v>191</v>
      </c>
      <c r="E20" s="11" t="s">
        <v>168</v>
      </c>
      <c r="F20" s="11" t="s">
        <v>141</v>
      </c>
      <c r="G20" s="10" t="s">
        <v>196</v>
      </c>
      <c r="H20">
        <v>11000</v>
      </c>
      <c r="M20">
        <v>2</v>
      </c>
      <c r="N20">
        <v>25</v>
      </c>
      <c r="S20">
        <v>0.14000000000000001</v>
      </c>
      <c r="T20">
        <v>380</v>
      </c>
      <c r="W20">
        <v>25</v>
      </c>
      <c r="Z20">
        <v>28</v>
      </c>
      <c r="AC20">
        <v>42</v>
      </c>
      <c r="AG20" s="16">
        <f>(35000*1.34)</f>
        <v>46900</v>
      </c>
      <c r="AI20">
        <v>21</v>
      </c>
      <c r="AL20">
        <v>2300</v>
      </c>
      <c r="AO20">
        <v>540</v>
      </c>
      <c r="AR20">
        <v>19</v>
      </c>
      <c r="AU20">
        <v>80</v>
      </c>
      <c r="AZ20">
        <v>92</v>
      </c>
      <c r="BA20">
        <v>32</v>
      </c>
      <c r="BD20">
        <v>46</v>
      </c>
      <c r="BI20">
        <v>7.0000000000000007E-2</v>
      </c>
    </row>
    <row r="21" spans="1:61" x14ac:dyDescent="0.2">
      <c r="A21" s="10" t="s">
        <v>197</v>
      </c>
      <c r="B21" s="10" t="s">
        <v>198</v>
      </c>
      <c r="C21" s="10" t="s">
        <v>158</v>
      </c>
      <c r="D21" s="10" t="s">
        <v>159</v>
      </c>
      <c r="E21" s="11" t="s">
        <v>8</v>
      </c>
      <c r="F21" s="11" t="s">
        <v>153</v>
      </c>
      <c r="G21" s="10" t="s">
        <v>199</v>
      </c>
      <c r="H21">
        <v>1400</v>
      </c>
      <c r="M21">
        <v>0.8</v>
      </c>
      <c r="N21">
        <v>13</v>
      </c>
      <c r="S21">
        <v>1.3</v>
      </c>
      <c r="V21">
        <v>490</v>
      </c>
      <c r="W21">
        <v>5.9</v>
      </c>
      <c r="AA21" s="16">
        <f>(2.8*1.25)</f>
        <v>3.5</v>
      </c>
      <c r="AC21">
        <v>9.4</v>
      </c>
      <c r="AF21">
        <v>2500</v>
      </c>
      <c r="AJ21" s="16">
        <f>(5.2*1.44)</f>
        <v>7.4879999999999995</v>
      </c>
      <c r="AL21">
        <v>310</v>
      </c>
      <c r="AP21" s="16">
        <f>(81*1.24)</f>
        <v>100.44</v>
      </c>
      <c r="AT21">
        <v>1.9</v>
      </c>
      <c r="AW21">
        <v>80</v>
      </c>
      <c r="AZ21">
        <v>399</v>
      </c>
      <c r="BA21">
        <v>7.4</v>
      </c>
      <c r="BF21">
        <v>30</v>
      </c>
      <c r="BI21">
        <v>0.13</v>
      </c>
    </row>
    <row r="22" spans="1:61" x14ac:dyDescent="0.2">
      <c r="A22" s="10" t="s">
        <v>200</v>
      </c>
      <c r="B22" s="10" t="s">
        <v>198</v>
      </c>
      <c r="C22" s="10" t="s">
        <v>158</v>
      </c>
      <c r="D22" s="10" t="s">
        <v>159</v>
      </c>
      <c r="E22" s="11" t="s">
        <v>8</v>
      </c>
      <c r="F22" s="11" t="s">
        <v>153</v>
      </c>
      <c r="G22" s="10" t="s">
        <v>201</v>
      </c>
      <c r="H22">
        <v>4300</v>
      </c>
      <c r="L22" s="16">
        <f>(1*1.74)</f>
        <v>1.74</v>
      </c>
      <c r="N22">
        <v>14</v>
      </c>
      <c r="S22">
        <v>1</v>
      </c>
      <c r="V22">
        <v>230</v>
      </c>
      <c r="W22">
        <v>23</v>
      </c>
      <c r="AA22" s="16">
        <f>(4.5*1.25)</f>
        <v>5.625</v>
      </c>
      <c r="AE22">
        <v>6</v>
      </c>
      <c r="AF22">
        <v>10000</v>
      </c>
      <c r="AJ22" s="16">
        <f>(18*1.44)</f>
        <v>25.919999999999998</v>
      </c>
      <c r="AL22">
        <v>470</v>
      </c>
      <c r="AP22" s="16">
        <f>(91*1.24)</f>
        <v>112.84</v>
      </c>
      <c r="AT22">
        <v>1.5</v>
      </c>
      <c r="AW22">
        <v>60</v>
      </c>
      <c r="AZ22">
        <v>310</v>
      </c>
      <c r="BA22">
        <v>35</v>
      </c>
      <c r="BF22">
        <v>7</v>
      </c>
      <c r="BI22">
        <v>0.1</v>
      </c>
    </row>
    <row r="23" spans="1:61" x14ac:dyDescent="0.2">
      <c r="A23" t="s">
        <v>202</v>
      </c>
      <c r="B23" t="s">
        <v>203</v>
      </c>
      <c r="C23" t="s">
        <v>204</v>
      </c>
      <c r="D23" t="s">
        <v>204</v>
      </c>
      <c r="E23" s="1" t="s">
        <v>8</v>
      </c>
      <c r="F23" s="1" t="s">
        <v>153</v>
      </c>
      <c r="G23" t="s">
        <v>205</v>
      </c>
      <c r="H23" t="s">
        <v>155</v>
      </c>
      <c r="M23">
        <v>2</v>
      </c>
      <c r="N23">
        <v>47</v>
      </c>
      <c r="S23">
        <v>9.8000000000000007</v>
      </c>
      <c r="T23" t="s">
        <v>155</v>
      </c>
      <c r="Y23">
        <v>9.8000000000000007</v>
      </c>
      <c r="Z23" t="s">
        <v>155</v>
      </c>
      <c r="AC23" t="s">
        <v>155</v>
      </c>
      <c r="AF23" t="s">
        <v>155</v>
      </c>
      <c r="AK23">
        <v>20</v>
      </c>
      <c r="AL23" t="s">
        <v>155</v>
      </c>
      <c r="AO23" t="s">
        <v>155</v>
      </c>
      <c r="AR23" t="s">
        <v>155</v>
      </c>
      <c r="AU23" t="s">
        <v>155</v>
      </c>
      <c r="AX23" t="s">
        <v>155</v>
      </c>
      <c r="BA23" t="s">
        <v>155</v>
      </c>
      <c r="BD23" t="s">
        <v>155</v>
      </c>
      <c r="BI23">
        <v>0.09</v>
      </c>
    </row>
    <row r="24" spans="1:61" x14ac:dyDescent="0.2">
      <c r="A24" t="s">
        <v>202</v>
      </c>
      <c r="B24" t="s">
        <v>206</v>
      </c>
      <c r="C24" t="s">
        <v>204</v>
      </c>
      <c r="D24" t="s">
        <v>204</v>
      </c>
      <c r="E24" s="1" t="s">
        <v>8</v>
      </c>
      <c r="F24" s="1" t="s">
        <v>153</v>
      </c>
      <c r="G24" t="s">
        <v>207</v>
      </c>
      <c r="H24" t="s">
        <v>155</v>
      </c>
      <c r="M24">
        <v>2</v>
      </c>
      <c r="N24">
        <v>41</v>
      </c>
      <c r="S24">
        <v>9.8000000000000007</v>
      </c>
      <c r="T24" t="s">
        <v>155</v>
      </c>
      <c r="Y24">
        <v>9.8000000000000007</v>
      </c>
      <c r="Z24" t="s">
        <v>155</v>
      </c>
      <c r="AC24" t="s">
        <v>155</v>
      </c>
      <c r="AF24" t="s">
        <v>155</v>
      </c>
      <c r="AK24">
        <v>20</v>
      </c>
      <c r="AL24" t="s">
        <v>155</v>
      </c>
      <c r="AO24" t="s">
        <v>155</v>
      </c>
      <c r="AR24" t="s">
        <v>155</v>
      </c>
      <c r="AU24" t="s">
        <v>155</v>
      </c>
      <c r="AX24" t="s">
        <v>155</v>
      </c>
      <c r="BA24" t="s">
        <v>155</v>
      </c>
      <c r="BD24" t="s">
        <v>155</v>
      </c>
      <c r="BI24">
        <v>0.09</v>
      </c>
    </row>
    <row r="25" spans="1:61" x14ac:dyDescent="0.2">
      <c r="A25" t="s">
        <v>208</v>
      </c>
      <c r="B25" t="s">
        <v>209</v>
      </c>
      <c r="C25" t="s">
        <v>210</v>
      </c>
      <c r="D25" t="s">
        <v>211</v>
      </c>
      <c r="E25" s="1" t="s">
        <v>8</v>
      </c>
      <c r="F25" s="1" t="s">
        <v>153</v>
      </c>
      <c r="G25" t="s">
        <v>212</v>
      </c>
      <c r="H25" t="s">
        <v>155</v>
      </c>
      <c r="M25">
        <v>3.9</v>
      </c>
      <c r="N25">
        <v>18</v>
      </c>
      <c r="S25">
        <v>9.8000000000000007</v>
      </c>
      <c r="T25" t="s">
        <v>155</v>
      </c>
      <c r="Y25">
        <v>9.8000000000000007</v>
      </c>
      <c r="Z25" t="s">
        <v>155</v>
      </c>
      <c r="AC25">
        <v>20</v>
      </c>
      <c r="AF25" t="s">
        <v>155</v>
      </c>
      <c r="AI25">
        <v>22</v>
      </c>
      <c r="AL25" t="s">
        <v>155</v>
      </c>
      <c r="AO25" t="s">
        <v>155</v>
      </c>
      <c r="AR25" t="s">
        <v>155</v>
      </c>
      <c r="AU25" t="s">
        <v>155</v>
      </c>
      <c r="AX25" t="s">
        <v>155</v>
      </c>
      <c r="BA25" t="s">
        <v>155</v>
      </c>
      <c r="BD25">
        <v>47</v>
      </c>
      <c r="BI25">
        <v>0.09</v>
      </c>
    </row>
    <row r="26" spans="1:61" x14ac:dyDescent="0.2">
      <c r="A26" s="10" t="s">
        <v>213</v>
      </c>
      <c r="B26" s="10" t="s">
        <v>214</v>
      </c>
      <c r="C26" s="10" t="s">
        <v>215</v>
      </c>
      <c r="D26" s="10" t="s">
        <v>216</v>
      </c>
      <c r="E26" s="11" t="s">
        <v>168</v>
      </c>
      <c r="F26" s="11" t="s">
        <v>140</v>
      </c>
      <c r="G26" s="10" t="s">
        <v>217</v>
      </c>
      <c r="H26">
        <v>11000</v>
      </c>
      <c r="K26">
        <v>2.9</v>
      </c>
      <c r="N26">
        <v>65</v>
      </c>
      <c r="S26">
        <v>0.47</v>
      </c>
      <c r="T26">
        <v>690</v>
      </c>
      <c r="W26">
        <v>16</v>
      </c>
      <c r="Z26">
        <v>9.6999999999999993</v>
      </c>
      <c r="AE26">
        <v>20</v>
      </c>
      <c r="AF26">
        <v>16000</v>
      </c>
      <c r="AI26">
        <v>8.6999999999999993</v>
      </c>
      <c r="AL26">
        <v>1200</v>
      </c>
      <c r="AO26">
        <v>680</v>
      </c>
      <c r="AR26">
        <v>6.7</v>
      </c>
      <c r="AU26">
        <v>300</v>
      </c>
      <c r="AX26">
        <v>20</v>
      </c>
      <c r="BA26">
        <v>39</v>
      </c>
      <c r="BD26">
        <v>20</v>
      </c>
      <c r="BI26">
        <v>0.12</v>
      </c>
    </row>
    <row r="27" spans="1:61" x14ac:dyDescent="0.2">
      <c r="A27" s="10" t="s">
        <v>213</v>
      </c>
      <c r="B27" s="10" t="s">
        <v>214</v>
      </c>
      <c r="C27" s="10" t="s">
        <v>215</v>
      </c>
      <c r="D27" s="10" t="s">
        <v>216</v>
      </c>
      <c r="E27" s="11" t="s">
        <v>168</v>
      </c>
      <c r="F27" s="11" t="s">
        <v>140</v>
      </c>
      <c r="G27" s="10" t="s">
        <v>218</v>
      </c>
      <c r="H27">
        <v>20000</v>
      </c>
      <c r="K27">
        <v>3.5</v>
      </c>
      <c r="N27">
        <v>55</v>
      </c>
      <c r="S27">
        <v>0.49</v>
      </c>
      <c r="T27">
        <v>700</v>
      </c>
      <c r="W27">
        <v>16</v>
      </c>
      <c r="Z27">
        <v>23</v>
      </c>
      <c r="AE27">
        <v>40</v>
      </c>
      <c r="AF27">
        <v>34000</v>
      </c>
      <c r="AI27">
        <v>21</v>
      </c>
      <c r="AL27">
        <v>640</v>
      </c>
      <c r="AO27">
        <v>2000</v>
      </c>
      <c r="AR27">
        <v>5.5</v>
      </c>
      <c r="AU27">
        <v>700</v>
      </c>
      <c r="AX27">
        <v>23</v>
      </c>
      <c r="BA27">
        <v>66</v>
      </c>
      <c r="BD27">
        <v>34</v>
      </c>
      <c r="BI27">
        <v>0.12</v>
      </c>
    </row>
    <row r="28" spans="1:61" x14ac:dyDescent="0.2">
      <c r="A28" s="10" t="s">
        <v>213</v>
      </c>
      <c r="B28" s="10" t="s">
        <v>214</v>
      </c>
      <c r="C28" s="10" t="s">
        <v>215</v>
      </c>
      <c r="D28" s="10" t="s">
        <v>216</v>
      </c>
      <c r="E28" s="11" t="s">
        <v>168</v>
      </c>
      <c r="F28" s="11" t="s">
        <v>153</v>
      </c>
      <c r="G28" s="10" t="s">
        <v>219</v>
      </c>
      <c r="H28">
        <v>7000</v>
      </c>
      <c r="K28">
        <v>3.7</v>
      </c>
      <c r="N28">
        <v>39</v>
      </c>
      <c r="S28">
        <v>0.55000000000000004</v>
      </c>
      <c r="T28">
        <v>700</v>
      </c>
      <c r="W28">
        <v>15</v>
      </c>
      <c r="Z28">
        <v>7.6</v>
      </c>
      <c r="AE28">
        <v>20</v>
      </c>
      <c r="AF28">
        <v>19000</v>
      </c>
      <c r="AI28">
        <v>13</v>
      </c>
      <c r="AL28">
        <v>920</v>
      </c>
      <c r="AO28">
        <v>290</v>
      </c>
      <c r="AR28">
        <v>4.5999999999999996</v>
      </c>
      <c r="AU28">
        <v>230</v>
      </c>
      <c r="AX28">
        <v>20</v>
      </c>
      <c r="BA28">
        <v>47</v>
      </c>
      <c r="BD28">
        <v>18</v>
      </c>
      <c r="BI28">
        <v>0.13</v>
      </c>
    </row>
    <row r="29" spans="1:61" x14ac:dyDescent="0.2">
      <c r="A29" s="10" t="s">
        <v>220</v>
      </c>
      <c r="B29" s="10" t="s">
        <v>221</v>
      </c>
      <c r="C29" s="10" t="s">
        <v>222</v>
      </c>
      <c r="D29" s="10" t="s">
        <v>223</v>
      </c>
      <c r="E29" s="11" t="s">
        <v>8</v>
      </c>
      <c r="F29" s="11" t="s">
        <v>140</v>
      </c>
      <c r="G29" s="10" t="s">
        <v>224</v>
      </c>
      <c r="H29">
        <v>9000</v>
      </c>
      <c r="M29">
        <v>2</v>
      </c>
      <c r="O29" s="16">
        <f>(18*3.99)</f>
        <v>71.820000000000007</v>
      </c>
      <c r="S29">
        <v>0.26</v>
      </c>
      <c r="U29">
        <v>1200</v>
      </c>
      <c r="W29">
        <v>9.1</v>
      </c>
      <c r="AB29">
        <v>1.3</v>
      </c>
      <c r="AE29">
        <v>5</v>
      </c>
      <c r="AF29">
        <v>2900</v>
      </c>
      <c r="AJ29" s="16">
        <f>(9.1*1.44)</f>
        <v>13.103999999999999</v>
      </c>
      <c r="AM29" s="16">
        <f>(460*1.23)</f>
        <v>565.79999999999995</v>
      </c>
      <c r="AO29">
        <v>5.4</v>
      </c>
      <c r="AT29">
        <v>2.9</v>
      </c>
      <c r="AW29">
        <v>230</v>
      </c>
      <c r="AZ29">
        <v>1200</v>
      </c>
      <c r="BA29">
        <v>10</v>
      </c>
      <c r="BF29">
        <v>30</v>
      </c>
      <c r="BI29">
        <v>0.13</v>
      </c>
    </row>
    <row r="30" spans="1:61" x14ac:dyDescent="0.2">
      <c r="A30" s="10" t="s">
        <v>220</v>
      </c>
      <c r="B30" s="10" t="s">
        <v>225</v>
      </c>
      <c r="C30" s="10" t="s">
        <v>222</v>
      </c>
      <c r="D30" s="10" t="s">
        <v>223</v>
      </c>
      <c r="E30" s="11" t="s">
        <v>8</v>
      </c>
      <c r="F30" s="11" t="s">
        <v>141</v>
      </c>
      <c r="G30" s="10" t="s">
        <v>226</v>
      </c>
      <c r="H30">
        <v>6200</v>
      </c>
      <c r="K30">
        <v>6.3</v>
      </c>
      <c r="S30">
        <v>1</v>
      </c>
      <c r="V30">
        <v>170</v>
      </c>
      <c r="W30">
        <v>8</v>
      </c>
      <c r="Z30">
        <v>2.5</v>
      </c>
      <c r="AE30">
        <v>3</v>
      </c>
      <c r="AF30">
        <v>4000</v>
      </c>
      <c r="AJ30" s="16">
        <f>(5*1.44)</f>
        <v>7.1999999999999993</v>
      </c>
      <c r="AM30" s="16">
        <f>(210*1.23)</f>
        <v>258.3</v>
      </c>
      <c r="AO30">
        <v>9.6</v>
      </c>
      <c r="AT30">
        <v>2.6</v>
      </c>
      <c r="AW30">
        <v>330</v>
      </c>
      <c r="AZ30">
        <v>960</v>
      </c>
      <c r="BA30">
        <v>11</v>
      </c>
      <c r="BF30">
        <v>7</v>
      </c>
      <c r="BI30">
        <v>0.12</v>
      </c>
    </row>
    <row r="31" spans="1:61" x14ac:dyDescent="0.2">
      <c r="A31" s="10" t="s">
        <v>220</v>
      </c>
      <c r="B31" s="10" t="s">
        <v>225</v>
      </c>
      <c r="C31" s="10" t="s">
        <v>222</v>
      </c>
      <c r="D31" s="10" t="s">
        <v>223</v>
      </c>
      <c r="E31" s="11" t="s">
        <v>8</v>
      </c>
      <c r="F31" s="11" t="s">
        <v>153</v>
      </c>
      <c r="G31" s="10" t="s">
        <v>227</v>
      </c>
      <c r="H31">
        <v>4500</v>
      </c>
      <c r="M31">
        <v>0.44</v>
      </c>
      <c r="P31">
        <v>7</v>
      </c>
      <c r="S31">
        <v>0.22</v>
      </c>
      <c r="U31">
        <v>8500</v>
      </c>
      <c r="W31">
        <v>6.5</v>
      </c>
      <c r="AB31">
        <v>1.1000000000000001</v>
      </c>
      <c r="AE31">
        <v>6</v>
      </c>
      <c r="AF31">
        <v>2000</v>
      </c>
      <c r="AJ31" s="16">
        <f>(47*1.44)</f>
        <v>67.679999999999993</v>
      </c>
      <c r="AM31" s="16">
        <f>(360*1.23)</f>
        <v>442.8</v>
      </c>
      <c r="AO31">
        <v>5.6</v>
      </c>
      <c r="AT31">
        <v>2.4</v>
      </c>
      <c r="AW31">
        <v>120</v>
      </c>
      <c r="AZ31">
        <v>910</v>
      </c>
      <c r="BA31">
        <v>8.1</v>
      </c>
      <c r="BF31">
        <v>20</v>
      </c>
      <c r="BI31">
        <v>0.11</v>
      </c>
    </row>
    <row r="32" spans="1:61" x14ac:dyDescent="0.2">
      <c r="A32" s="10" t="s">
        <v>228</v>
      </c>
      <c r="B32" s="10" t="s">
        <v>225</v>
      </c>
      <c r="C32" s="10" t="s">
        <v>229</v>
      </c>
      <c r="D32" s="10" t="s">
        <v>230</v>
      </c>
      <c r="E32" s="11" t="s">
        <v>8</v>
      </c>
      <c r="F32" s="11" t="s">
        <v>140</v>
      </c>
      <c r="G32" s="10" t="s">
        <v>231</v>
      </c>
      <c r="H32">
        <v>4300</v>
      </c>
      <c r="M32">
        <v>2</v>
      </c>
      <c r="N32">
        <v>24</v>
      </c>
      <c r="S32">
        <v>0.67</v>
      </c>
      <c r="V32">
        <v>320</v>
      </c>
      <c r="W32">
        <v>4.3</v>
      </c>
      <c r="AB32">
        <v>2</v>
      </c>
      <c r="AD32" s="16">
        <f>(4.9*1.22)</f>
        <v>5.9780000000000006</v>
      </c>
      <c r="AF32">
        <v>2800</v>
      </c>
      <c r="AI32">
        <v>4.2</v>
      </c>
      <c r="AL32">
        <v>240</v>
      </c>
      <c r="AO32">
        <v>110</v>
      </c>
      <c r="AT32">
        <v>3</v>
      </c>
      <c r="AW32">
        <v>120</v>
      </c>
      <c r="AZ32">
        <v>170</v>
      </c>
      <c r="BA32">
        <v>6.2</v>
      </c>
      <c r="BF32">
        <v>6</v>
      </c>
      <c r="BI32">
        <v>0.1</v>
      </c>
    </row>
    <row r="33" spans="1:61" x14ac:dyDescent="0.2">
      <c r="A33" s="10" t="s">
        <v>228</v>
      </c>
      <c r="B33" s="10" t="s">
        <v>225</v>
      </c>
      <c r="C33" s="10" t="s">
        <v>229</v>
      </c>
      <c r="D33" s="10" t="s">
        <v>230</v>
      </c>
      <c r="E33" s="11" t="s">
        <v>8</v>
      </c>
      <c r="F33" s="11" t="s">
        <v>153</v>
      </c>
      <c r="G33" s="10" t="s">
        <v>232</v>
      </c>
      <c r="H33">
        <v>13000</v>
      </c>
      <c r="L33" s="16">
        <f>(8*1.74)</f>
        <v>13.92</v>
      </c>
      <c r="N33">
        <v>32</v>
      </c>
      <c r="Q33">
        <v>3.3</v>
      </c>
      <c r="T33">
        <v>55000</v>
      </c>
      <c r="W33">
        <v>44</v>
      </c>
      <c r="Z33">
        <v>2.7</v>
      </c>
      <c r="AD33" s="16">
        <f>(20*1.22)</f>
        <v>24.4</v>
      </c>
      <c r="AF33">
        <v>8700</v>
      </c>
      <c r="AI33">
        <v>35</v>
      </c>
      <c r="AL33">
        <v>3000</v>
      </c>
      <c r="AO33">
        <v>58</v>
      </c>
      <c r="AR33">
        <v>12</v>
      </c>
      <c r="AW33">
        <v>870</v>
      </c>
      <c r="AX33">
        <v>1200</v>
      </c>
      <c r="BA33">
        <v>28</v>
      </c>
      <c r="BE33" s="16">
        <f>(76*1.5)</f>
        <v>114</v>
      </c>
      <c r="BI33">
        <v>0.1</v>
      </c>
    </row>
    <row r="34" spans="1:61" x14ac:dyDescent="0.2">
      <c r="A34" s="10" t="s">
        <v>233</v>
      </c>
      <c r="B34" s="10" t="s">
        <v>234</v>
      </c>
      <c r="C34" s="10" t="s">
        <v>235</v>
      </c>
      <c r="D34" s="10" t="s">
        <v>129</v>
      </c>
      <c r="E34" s="11" t="s">
        <v>168</v>
      </c>
      <c r="F34" s="11" t="s">
        <v>140</v>
      </c>
      <c r="G34" s="10" t="s">
        <v>236</v>
      </c>
      <c r="H34">
        <v>32000</v>
      </c>
      <c r="M34">
        <v>1</v>
      </c>
      <c r="N34">
        <v>330</v>
      </c>
      <c r="S34">
        <v>1.1000000000000001</v>
      </c>
      <c r="T34">
        <v>2000</v>
      </c>
      <c r="X34" s="16">
        <f>(50*1.29)</f>
        <v>64.5</v>
      </c>
      <c r="Z34">
        <v>35</v>
      </c>
      <c r="AC34">
        <v>37</v>
      </c>
      <c r="AF34">
        <v>50000</v>
      </c>
      <c r="AI34">
        <v>6</v>
      </c>
      <c r="AL34">
        <v>9000</v>
      </c>
      <c r="AO34">
        <v>690</v>
      </c>
      <c r="AR34">
        <v>26</v>
      </c>
      <c r="AW34">
        <v>9800</v>
      </c>
      <c r="AX34">
        <v>210</v>
      </c>
      <c r="BA34">
        <v>130</v>
      </c>
      <c r="BD34">
        <v>70</v>
      </c>
      <c r="BI34">
        <v>0.09</v>
      </c>
    </row>
    <row r="35" spans="1:61" x14ac:dyDescent="0.2">
      <c r="A35" s="10" t="s">
        <v>233</v>
      </c>
      <c r="B35" s="10" t="s">
        <v>234</v>
      </c>
      <c r="C35" s="10" t="s">
        <v>235</v>
      </c>
      <c r="D35" s="10" t="s">
        <v>129</v>
      </c>
      <c r="E35" s="11" t="s">
        <v>168</v>
      </c>
      <c r="F35" s="11" t="s">
        <v>141</v>
      </c>
      <c r="G35" s="10" t="s">
        <v>237</v>
      </c>
      <c r="H35">
        <v>41000</v>
      </c>
      <c r="M35">
        <v>1</v>
      </c>
      <c r="N35">
        <v>55</v>
      </c>
      <c r="S35">
        <v>1.2</v>
      </c>
      <c r="T35">
        <v>56</v>
      </c>
      <c r="X35" s="16">
        <f>(150*1.29)</f>
        <v>193.5</v>
      </c>
      <c r="Z35">
        <v>14</v>
      </c>
      <c r="AC35">
        <v>40</v>
      </c>
      <c r="AF35">
        <v>67000</v>
      </c>
      <c r="AI35">
        <v>10</v>
      </c>
      <c r="AL35">
        <v>1400</v>
      </c>
      <c r="AO35">
        <v>290</v>
      </c>
      <c r="AR35">
        <v>28</v>
      </c>
      <c r="AU35">
        <v>850</v>
      </c>
      <c r="AX35">
        <v>51</v>
      </c>
      <c r="BA35">
        <v>200</v>
      </c>
      <c r="BD35">
        <v>31</v>
      </c>
      <c r="BI35">
        <v>0.3</v>
      </c>
    </row>
    <row r="36" spans="1:61" x14ac:dyDescent="0.2">
      <c r="A36" t="s">
        <v>238</v>
      </c>
      <c r="B36" t="s">
        <v>239</v>
      </c>
      <c r="C36" t="s">
        <v>240</v>
      </c>
      <c r="D36" t="s">
        <v>241</v>
      </c>
      <c r="E36" s="1" t="s">
        <v>168</v>
      </c>
      <c r="F36" s="1" t="s">
        <v>140</v>
      </c>
      <c r="G36" t="s">
        <v>242</v>
      </c>
      <c r="H36" t="s">
        <v>155</v>
      </c>
      <c r="M36">
        <v>3.9</v>
      </c>
      <c r="N36">
        <v>12</v>
      </c>
      <c r="S36">
        <v>9.8000000000000007</v>
      </c>
      <c r="T36" t="s">
        <v>155</v>
      </c>
      <c r="Y36">
        <v>9.8000000000000007</v>
      </c>
      <c r="Z36" t="s">
        <v>155</v>
      </c>
      <c r="AE36">
        <v>9.8000000000000007</v>
      </c>
      <c r="AK36">
        <v>20</v>
      </c>
      <c r="AL36" t="s">
        <v>155</v>
      </c>
      <c r="AO36" t="s">
        <v>155</v>
      </c>
      <c r="AR36" t="s">
        <v>155</v>
      </c>
      <c r="AU36" t="s">
        <v>155</v>
      </c>
      <c r="AX36" t="s">
        <v>155</v>
      </c>
      <c r="BA36" t="s">
        <v>155</v>
      </c>
      <c r="BD36" t="s">
        <v>155</v>
      </c>
      <c r="BI36">
        <v>0.1</v>
      </c>
    </row>
    <row r="37" spans="1:61" x14ac:dyDescent="0.2">
      <c r="A37" t="s">
        <v>238</v>
      </c>
      <c r="B37" t="s">
        <v>239</v>
      </c>
      <c r="C37" t="s">
        <v>240</v>
      </c>
      <c r="D37" t="s">
        <v>241</v>
      </c>
      <c r="E37" s="1" t="s">
        <v>168</v>
      </c>
      <c r="F37" s="1" t="s">
        <v>140</v>
      </c>
      <c r="G37" t="s">
        <v>243</v>
      </c>
      <c r="H37" t="s">
        <v>155</v>
      </c>
      <c r="M37">
        <v>7.8</v>
      </c>
      <c r="N37">
        <v>12</v>
      </c>
      <c r="S37">
        <v>9.8000000000000007</v>
      </c>
      <c r="T37" t="s">
        <v>155</v>
      </c>
      <c r="Y37">
        <v>9.8000000000000007</v>
      </c>
      <c r="Z37" t="s">
        <v>155</v>
      </c>
      <c r="AE37">
        <v>9.8000000000000007</v>
      </c>
      <c r="AK37">
        <v>20</v>
      </c>
      <c r="AL37" t="s">
        <v>155</v>
      </c>
      <c r="AO37" t="s">
        <v>155</v>
      </c>
      <c r="AR37" t="s">
        <v>155</v>
      </c>
      <c r="AU37" t="s">
        <v>155</v>
      </c>
      <c r="AX37" t="s">
        <v>155</v>
      </c>
      <c r="BA37" t="s">
        <v>155</v>
      </c>
      <c r="BD37" t="s">
        <v>155</v>
      </c>
      <c r="BI37">
        <v>0.1</v>
      </c>
    </row>
    <row r="38" spans="1:61" x14ac:dyDescent="0.2">
      <c r="A38" t="s">
        <v>238</v>
      </c>
      <c r="B38" t="s">
        <v>239</v>
      </c>
      <c r="C38" t="s">
        <v>240</v>
      </c>
      <c r="D38" t="s">
        <v>241</v>
      </c>
      <c r="E38" s="1" t="s">
        <v>168</v>
      </c>
      <c r="F38" s="1" t="s">
        <v>140</v>
      </c>
      <c r="G38" t="s">
        <v>244</v>
      </c>
      <c r="H38" t="s">
        <v>155</v>
      </c>
      <c r="M38">
        <v>3.9</v>
      </c>
      <c r="N38">
        <v>7.8</v>
      </c>
      <c r="S38">
        <v>9.8000000000000007</v>
      </c>
      <c r="T38" t="s">
        <v>155</v>
      </c>
      <c r="Y38">
        <v>9.8000000000000007</v>
      </c>
      <c r="Z38" t="s">
        <v>155</v>
      </c>
      <c r="AE38">
        <v>9.8000000000000007</v>
      </c>
      <c r="AK38">
        <v>20</v>
      </c>
      <c r="AL38" t="s">
        <v>155</v>
      </c>
      <c r="AO38" t="s">
        <v>155</v>
      </c>
      <c r="AR38" t="s">
        <v>155</v>
      </c>
      <c r="AU38" t="s">
        <v>155</v>
      </c>
      <c r="AX38" t="s">
        <v>155</v>
      </c>
      <c r="BA38" t="s">
        <v>155</v>
      </c>
      <c r="BD38" t="s">
        <v>155</v>
      </c>
      <c r="BI38">
        <v>0.1</v>
      </c>
    </row>
    <row r="39" spans="1:61" x14ac:dyDescent="0.2">
      <c r="A39" t="s">
        <v>238</v>
      </c>
      <c r="B39" t="s">
        <v>239</v>
      </c>
      <c r="C39" t="s">
        <v>240</v>
      </c>
      <c r="D39" t="s">
        <v>241</v>
      </c>
      <c r="E39" s="1" t="s">
        <v>168</v>
      </c>
      <c r="F39" s="1" t="s">
        <v>140</v>
      </c>
      <c r="G39" t="s">
        <v>245</v>
      </c>
      <c r="H39" t="s">
        <v>155</v>
      </c>
      <c r="M39">
        <v>7.8</v>
      </c>
      <c r="N39">
        <v>9.8000000000000007</v>
      </c>
      <c r="S39">
        <v>9.8000000000000007</v>
      </c>
      <c r="T39" t="s">
        <v>155</v>
      </c>
      <c r="Y39">
        <v>9.8000000000000007</v>
      </c>
      <c r="Z39" t="s">
        <v>155</v>
      </c>
      <c r="AE39">
        <v>9.8000000000000007</v>
      </c>
      <c r="AK39">
        <v>20</v>
      </c>
      <c r="AL39" t="s">
        <v>155</v>
      </c>
      <c r="AO39" t="s">
        <v>155</v>
      </c>
      <c r="AR39" t="s">
        <v>155</v>
      </c>
      <c r="AU39" t="s">
        <v>155</v>
      </c>
      <c r="AX39" t="s">
        <v>155</v>
      </c>
      <c r="BA39" t="s">
        <v>155</v>
      </c>
      <c r="BD39" t="s">
        <v>155</v>
      </c>
      <c r="BI39">
        <v>0.1</v>
      </c>
    </row>
    <row r="40" spans="1:61" x14ac:dyDescent="0.2">
      <c r="A40" t="s">
        <v>238</v>
      </c>
      <c r="B40" t="s">
        <v>239</v>
      </c>
      <c r="C40" t="s">
        <v>240</v>
      </c>
      <c r="D40" t="s">
        <v>241</v>
      </c>
      <c r="E40" s="1" t="s">
        <v>168</v>
      </c>
      <c r="F40" s="1" t="s">
        <v>153</v>
      </c>
      <c r="G40" t="s">
        <v>246</v>
      </c>
      <c r="H40" t="s">
        <v>155</v>
      </c>
      <c r="M40">
        <v>3.9</v>
      </c>
      <c r="N40">
        <v>20</v>
      </c>
      <c r="S40">
        <v>9.8000000000000007</v>
      </c>
      <c r="T40" t="s">
        <v>155</v>
      </c>
      <c r="Y40">
        <v>9.8000000000000007</v>
      </c>
      <c r="Z40" t="s">
        <v>155</v>
      </c>
      <c r="AE40">
        <v>9.8000000000000007</v>
      </c>
      <c r="AK40">
        <v>20</v>
      </c>
      <c r="AL40" t="s">
        <v>155</v>
      </c>
      <c r="AO40" t="s">
        <v>155</v>
      </c>
      <c r="AR40" t="s">
        <v>155</v>
      </c>
      <c r="AU40" t="s">
        <v>155</v>
      </c>
      <c r="AX40" t="s">
        <v>155</v>
      </c>
      <c r="BA40" t="s">
        <v>155</v>
      </c>
      <c r="BD40" t="s">
        <v>155</v>
      </c>
      <c r="BI40">
        <v>0.1</v>
      </c>
    </row>
    <row r="41" spans="1:61" x14ac:dyDescent="0.2">
      <c r="A41" t="s">
        <v>247</v>
      </c>
      <c r="B41" t="s">
        <v>248</v>
      </c>
      <c r="C41" t="s">
        <v>249</v>
      </c>
      <c r="D41" t="s">
        <v>250</v>
      </c>
      <c r="E41" s="1" t="s">
        <v>168</v>
      </c>
      <c r="F41" s="1" t="s">
        <v>153</v>
      </c>
      <c r="G41" t="s">
        <v>251</v>
      </c>
      <c r="H41" t="s">
        <v>155</v>
      </c>
      <c r="M41">
        <v>1</v>
      </c>
      <c r="N41">
        <v>111.5</v>
      </c>
      <c r="S41">
        <v>1</v>
      </c>
      <c r="T41" t="s">
        <v>155</v>
      </c>
      <c r="W41">
        <v>16.5</v>
      </c>
      <c r="Z41" t="s">
        <v>155</v>
      </c>
      <c r="AC41">
        <v>11.5</v>
      </c>
      <c r="AF41">
        <v>21195</v>
      </c>
      <c r="AI41">
        <v>10</v>
      </c>
      <c r="AL41" t="s">
        <v>155</v>
      </c>
      <c r="AO41">
        <v>282</v>
      </c>
      <c r="AR41">
        <v>128</v>
      </c>
      <c r="AU41" t="s">
        <v>155</v>
      </c>
      <c r="AX41" t="s">
        <v>155</v>
      </c>
      <c r="BA41" t="s">
        <v>155</v>
      </c>
      <c r="BD41">
        <v>65</v>
      </c>
      <c r="BI41">
        <v>0.05</v>
      </c>
    </row>
    <row r="42" spans="1:61" x14ac:dyDescent="0.2">
      <c r="A42" t="s">
        <v>252</v>
      </c>
      <c r="B42" t="s">
        <v>253</v>
      </c>
      <c r="C42" t="s">
        <v>254</v>
      </c>
      <c r="D42" t="s">
        <v>134</v>
      </c>
      <c r="E42" s="1" t="s">
        <v>168</v>
      </c>
      <c r="F42" s="1" t="s">
        <v>153</v>
      </c>
      <c r="G42" t="s">
        <v>255</v>
      </c>
      <c r="H42" t="s">
        <v>155</v>
      </c>
      <c r="M42">
        <v>4</v>
      </c>
      <c r="P42">
        <v>8</v>
      </c>
      <c r="S42">
        <v>16</v>
      </c>
      <c r="T42" t="s">
        <v>155</v>
      </c>
      <c r="Y42">
        <v>20</v>
      </c>
      <c r="Z42" t="s">
        <v>155</v>
      </c>
      <c r="AC42" t="s">
        <v>155</v>
      </c>
      <c r="AF42" t="s">
        <v>155</v>
      </c>
      <c r="AK42">
        <v>20</v>
      </c>
      <c r="AL42" t="s">
        <v>155</v>
      </c>
      <c r="AO42" t="s">
        <v>155</v>
      </c>
      <c r="AR42" t="s">
        <v>155</v>
      </c>
      <c r="AU42" t="s">
        <v>155</v>
      </c>
      <c r="AX42" t="s">
        <v>155</v>
      </c>
      <c r="BA42" t="s">
        <v>155</v>
      </c>
      <c r="BD42" t="s">
        <v>155</v>
      </c>
      <c r="BI42">
        <v>0.09</v>
      </c>
    </row>
    <row r="43" spans="1:61" x14ac:dyDescent="0.2">
      <c r="A43" s="10" t="s">
        <v>252</v>
      </c>
      <c r="B43" s="10" t="s">
        <v>253</v>
      </c>
      <c r="C43" s="10" t="s">
        <v>254</v>
      </c>
      <c r="D43" s="10" t="s">
        <v>134</v>
      </c>
      <c r="E43" s="11" t="s">
        <v>168</v>
      </c>
      <c r="F43" s="11" t="s">
        <v>140</v>
      </c>
      <c r="G43" s="10" t="s">
        <v>256</v>
      </c>
      <c r="H43">
        <v>2400</v>
      </c>
      <c r="L43" s="16">
        <f>(2.9*1.74)</f>
        <v>5.0460000000000003</v>
      </c>
      <c r="N43">
        <v>16.399999999999999</v>
      </c>
      <c r="S43">
        <v>0.76</v>
      </c>
      <c r="T43">
        <v>177</v>
      </c>
      <c r="W43">
        <v>3.5</v>
      </c>
      <c r="AB43">
        <v>2.5</v>
      </c>
      <c r="AE43">
        <v>3</v>
      </c>
      <c r="AG43" s="16">
        <f>(1910*1.34)</f>
        <v>2559.4</v>
      </c>
      <c r="AJ43" s="16">
        <f>(5.5*1.44)</f>
        <v>7.92</v>
      </c>
      <c r="AL43">
        <v>75.3</v>
      </c>
      <c r="AO43">
        <v>23.7</v>
      </c>
      <c r="AT43">
        <v>5</v>
      </c>
      <c r="AW43">
        <v>310</v>
      </c>
      <c r="AX43">
        <v>23.3</v>
      </c>
      <c r="BA43">
        <v>3.5</v>
      </c>
      <c r="BF43">
        <v>10</v>
      </c>
      <c r="BI43">
        <v>0.06</v>
      </c>
    </row>
    <row r="44" spans="1:61" x14ac:dyDescent="0.2">
      <c r="A44" s="10" t="s">
        <v>252</v>
      </c>
      <c r="B44" s="10" t="s">
        <v>253</v>
      </c>
      <c r="C44" s="10" t="s">
        <v>254</v>
      </c>
      <c r="D44" s="10" t="s">
        <v>134</v>
      </c>
      <c r="E44" s="11" t="s">
        <v>168</v>
      </c>
      <c r="F44" s="11" t="s">
        <v>141</v>
      </c>
      <c r="G44" s="10" t="s">
        <v>257</v>
      </c>
      <c r="H44">
        <v>14600</v>
      </c>
      <c r="L44" s="16">
        <f>(12.3*1.74)</f>
        <v>21.402000000000001</v>
      </c>
      <c r="N44">
        <v>2.4</v>
      </c>
      <c r="O44" t="s">
        <v>174</v>
      </c>
      <c r="Q44">
        <v>3.6</v>
      </c>
      <c r="T44">
        <v>1110</v>
      </c>
      <c r="W44">
        <v>17</v>
      </c>
      <c r="Z44">
        <v>14.2</v>
      </c>
      <c r="AC44">
        <v>23.5</v>
      </c>
      <c r="AG44" s="16">
        <f>(38400*1.34)</f>
        <v>51456</v>
      </c>
      <c r="AJ44" s="16">
        <f>(20.7*1.44)</f>
        <v>29.807999999999996</v>
      </c>
      <c r="AL44">
        <v>6910</v>
      </c>
      <c r="AP44" s="16">
        <f>(370*1.24)</f>
        <v>458.8</v>
      </c>
      <c r="AR44">
        <v>36.4</v>
      </c>
      <c r="AW44">
        <v>297</v>
      </c>
      <c r="AX44">
        <v>18.600000000000001</v>
      </c>
      <c r="BA44">
        <v>12.3</v>
      </c>
      <c r="BD44">
        <v>66.099999999999994</v>
      </c>
      <c r="BI44">
        <v>0.05</v>
      </c>
    </row>
    <row r="45" spans="1:61" x14ac:dyDescent="0.2">
      <c r="A45" t="s">
        <v>258</v>
      </c>
      <c r="B45" t="s">
        <v>259</v>
      </c>
      <c r="C45" t="s">
        <v>180</v>
      </c>
      <c r="D45" t="s">
        <v>136</v>
      </c>
      <c r="E45" s="1" t="s">
        <v>8</v>
      </c>
      <c r="F45" s="1" t="s">
        <v>141</v>
      </c>
      <c r="G45" t="s">
        <v>260</v>
      </c>
      <c r="H45" t="s">
        <v>155</v>
      </c>
      <c r="K45">
        <v>4</v>
      </c>
      <c r="N45">
        <v>77</v>
      </c>
      <c r="S45">
        <v>15</v>
      </c>
      <c r="T45" t="s">
        <v>155</v>
      </c>
      <c r="W45">
        <v>23</v>
      </c>
      <c r="Z45" t="s">
        <v>155</v>
      </c>
      <c r="AC45" t="s">
        <v>155</v>
      </c>
      <c r="AF45" t="s">
        <v>155</v>
      </c>
      <c r="AI45">
        <v>34</v>
      </c>
      <c r="AL45" t="s">
        <v>155</v>
      </c>
      <c r="AO45" t="s">
        <v>155</v>
      </c>
      <c r="AR45" t="s">
        <v>155</v>
      </c>
      <c r="AU45" t="s">
        <v>155</v>
      </c>
      <c r="AX45" t="s">
        <v>155</v>
      </c>
      <c r="BA45" t="s">
        <v>155</v>
      </c>
      <c r="BD45" t="s">
        <v>155</v>
      </c>
      <c r="BI45">
        <v>0.09</v>
      </c>
    </row>
    <row r="46" spans="1:61" x14ac:dyDescent="0.2">
      <c r="A46" t="s">
        <v>261</v>
      </c>
      <c r="B46" t="s">
        <v>262</v>
      </c>
      <c r="C46" t="s">
        <v>263</v>
      </c>
      <c r="D46" t="s">
        <v>264</v>
      </c>
      <c r="E46" s="1" t="s">
        <v>168</v>
      </c>
      <c r="F46" s="1" t="s">
        <v>141</v>
      </c>
      <c r="G46" t="s">
        <v>265</v>
      </c>
      <c r="H46" t="s">
        <v>155</v>
      </c>
      <c r="M46">
        <v>10</v>
      </c>
      <c r="N46">
        <v>20</v>
      </c>
      <c r="S46">
        <v>16</v>
      </c>
      <c r="T46" t="s">
        <v>155</v>
      </c>
      <c r="Y46">
        <v>39</v>
      </c>
      <c r="Z46" t="s">
        <v>155</v>
      </c>
      <c r="AC46" t="s">
        <v>155</v>
      </c>
      <c r="AF46" t="s">
        <v>155</v>
      </c>
      <c r="AK46">
        <v>20</v>
      </c>
      <c r="AL46" t="s">
        <v>155</v>
      </c>
      <c r="AO46" t="s">
        <v>155</v>
      </c>
      <c r="AR46" t="s">
        <v>155</v>
      </c>
      <c r="AU46" t="s">
        <v>155</v>
      </c>
      <c r="AX46" t="s">
        <v>155</v>
      </c>
      <c r="BA46" t="s">
        <v>155</v>
      </c>
      <c r="BD46" t="s">
        <v>155</v>
      </c>
      <c r="BI46">
        <v>0.09</v>
      </c>
    </row>
    <row r="47" spans="1:61" x14ac:dyDescent="0.2">
      <c r="A47" t="s">
        <v>266</v>
      </c>
      <c r="B47" t="s">
        <v>267</v>
      </c>
      <c r="C47" t="s">
        <v>158</v>
      </c>
      <c r="D47" t="s">
        <v>159</v>
      </c>
      <c r="E47" s="1" t="s">
        <v>8</v>
      </c>
      <c r="F47" s="1" t="s">
        <v>141</v>
      </c>
      <c r="G47" t="s">
        <v>268</v>
      </c>
      <c r="H47" t="s">
        <v>155</v>
      </c>
      <c r="M47">
        <v>2</v>
      </c>
      <c r="N47">
        <v>31</v>
      </c>
      <c r="S47">
        <v>16</v>
      </c>
      <c r="T47" t="s">
        <v>155</v>
      </c>
      <c r="Y47">
        <v>39</v>
      </c>
      <c r="Z47" t="s">
        <v>155</v>
      </c>
      <c r="AC47" t="s">
        <v>155</v>
      </c>
      <c r="AF47" t="s">
        <v>155</v>
      </c>
      <c r="AI47">
        <v>31</v>
      </c>
      <c r="AL47" t="s">
        <v>155</v>
      </c>
      <c r="AO47" t="s">
        <v>155</v>
      </c>
      <c r="AR47" t="s">
        <v>155</v>
      </c>
      <c r="AU47" t="s">
        <v>155</v>
      </c>
      <c r="AX47" t="s">
        <v>155</v>
      </c>
      <c r="BA47" t="s">
        <v>155</v>
      </c>
      <c r="BD47" t="s">
        <v>155</v>
      </c>
      <c r="BI47">
        <v>0.1</v>
      </c>
    </row>
    <row r="48" spans="1:61" x14ac:dyDescent="0.2">
      <c r="A48" s="10" t="s">
        <v>269</v>
      </c>
      <c r="B48" s="10" t="s">
        <v>270</v>
      </c>
      <c r="C48" s="10" t="s">
        <v>158</v>
      </c>
      <c r="D48" s="10" t="s">
        <v>159</v>
      </c>
      <c r="E48" s="11" t="s">
        <v>8</v>
      </c>
      <c r="F48" s="11" t="s">
        <v>140</v>
      </c>
      <c r="G48" s="10" t="s">
        <v>271</v>
      </c>
      <c r="H48">
        <v>8300</v>
      </c>
      <c r="M48">
        <v>2.1</v>
      </c>
      <c r="N48">
        <v>36</v>
      </c>
      <c r="S48">
        <v>1.1000000000000001</v>
      </c>
      <c r="T48">
        <v>1900</v>
      </c>
      <c r="W48">
        <v>51</v>
      </c>
      <c r="AB48">
        <v>20</v>
      </c>
      <c r="AC48">
        <v>23</v>
      </c>
      <c r="AF48">
        <v>26000</v>
      </c>
      <c r="AI48">
        <v>54</v>
      </c>
      <c r="AL48">
        <v>970</v>
      </c>
      <c r="AO48">
        <v>310</v>
      </c>
      <c r="AR48">
        <v>6.1</v>
      </c>
      <c r="AW48">
        <v>540</v>
      </c>
      <c r="AZ48">
        <v>210</v>
      </c>
      <c r="BA48">
        <v>130</v>
      </c>
      <c r="BD48">
        <v>49</v>
      </c>
      <c r="BI48">
        <v>0.1</v>
      </c>
    </row>
    <row r="49" spans="1:61" x14ac:dyDescent="0.2">
      <c r="A49" t="s">
        <v>272</v>
      </c>
      <c r="B49" t="s">
        <v>273</v>
      </c>
      <c r="C49" t="s">
        <v>274</v>
      </c>
      <c r="D49" t="s">
        <v>275</v>
      </c>
      <c r="E49" s="1" t="s">
        <v>168</v>
      </c>
      <c r="F49" s="1" t="s">
        <v>141</v>
      </c>
      <c r="G49" t="s">
        <v>276</v>
      </c>
      <c r="H49" t="s">
        <v>155</v>
      </c>
      <c r="M49">
        <v>2</v>
      </c>
      <c r="N49">
        <v>35</v>
      </c>
      <c r="S49">
        <v>15</v>
      </c>
      <c r="T49" t="s">
        <v>155</v>
      </c>
      <c r="Y49">
        <v>37</v>
      </c>
      <c r="Z49" t="s">
        <v>155</v>
      </c>
      <c r="AC49" t="s">
        <v>155</v>
      </c>
      <c r="AF49" t="s">
        <v>155</v>
      </c>
      <c r="AK49">
        <v>19</v>
      </c>
      <c r="AL49" t="s">
        <v>155</v>
      </c>
      <c r="AO49" t="s">
        <v>155</v>
      </c>
      <c r="AR49" t="s">
        <v>155</v>
      </c>
      <c r="AU49" t="s">
        <v>155</v>
      </c>
      <c r="AX49" t="s">
        <v>155</v>
      </c>
      <c r="BA49" t="s">
        <v>155</v>
      </c>
      <c r="BD49" t="s">
        <v>155</v>
      </c>
      <c r="BI49">
        <v>0.02</v>
      </c>
    </row>
    <row r="50" spans="1:61" x14ac:dyDescent="0.2">
      <c r="A50" t="s">
        <v>277</v>
      </c>
      <c r="B50" t="s">
        <v>278</v>
      </c>
      <c r="C50" t="s">
        <v>279</v>
      </c>
      <c r="D50" t="s">
        <v>280</v>
      </c>
      <c r="E50" s="1" t="s">
        <v>168</v>
      </c>
      <c r="F50" s="1" t="s">
        <v>153</v>
      </c>
      <c r="G50" t="s">
        <v>281</v>
      </c>
      <c r="H50" t="s">
        <v>155</v>
      </c>
      <c r="K50">
        <v>0.82</v>
      </c>
      <c r="N50">
        <v>15</v>
      </c>
      <c r="S50">
        <v>0.31</v>
      </c>
      <c r="W50">
        <v>3.4</v>
      </c>
      <c r="Z50" t="s">
        <v>155</v>
      </c>
      <c r="AC50" t="s">
        <v>155</v>
      </c>
      <c r="AF50" t="s">
        <v>155</v>
      </c>
      <c r="AI50">
        <v>5.3</v>
      </c>
      <c r="AL50" t="s">
        <v>155</v>
      </c>
      <c r="AO50" t="s">
        <v>155</v>
      </c>
      <c r="AR50" t="s">
        <v>155</v>
      </c>
      <c r="AU50" t="s">
        <v>155</v>
      </c>
      <c r="AX50" t="s">
        <v>155</v>
      </c>
      <c r="BA50" t="s">
        <v>155</v>
      </c>
      <c r="BD50" t="s">
        <v>155</v>
      </c>
      <c r="BG50" t="s">
        <v>155</v>
      </c>
    </row>
    <row r="51" spans="1:61" x14ac:dyDescent="0.2">
      <c r="A51" t="s">
        <v>282</v>
      </c>
      <c r="B51" t="s">
        <v>283</v>
      </c>
      <c r="C51" t="s">
        <v>284</v>
      </c>
      <c r="D51" t="s">
        <v>285</v>
      </c>
      <c r="E51" s="1" t="s">
        <v>168</v>
      </c>
      <c r="F51" s="1" t="s">
        <v>153</v>
      </c>
      <c r="G51" t="s">
        <v>286</v>
      </c>
      <c r="H51" t="s">
        <v>155</v>
      </c>
      <c r="M51">
        <v>4</v>
      </c>
      <c r="N51">
        <v>113</v>
      </c>
      <c r="Q51">
        <v>8</v>
      </c>
      <c r="T51" t="s">
        <v>155</v>
      </c>
      <c r="W51">
        <v>20</v>
      </c>
      <c r="Z51" t="s">
        <v>155</v>
      </c>
      <c r="AC51">
        <v>26</v>
      </c>
      <c r="AF51" t="s">
        <v>155</v>
      </c>
      <c r="AI51">
        <v>14</v>
      </c>
      <c r="AL51" t="s">
        <v>155</v>
      </c>
      <c r="AO51" t="s">
        <v>155</v>
      </c>
      <c r="AR51" t="s">
        <v>155</v>
      </c>
      <c r="AU51" t="s">
        <v>155</v>
      </c>
      <c r="AX51" t="s">
        <v>155</v>
      </c>
      <c r="BA51" t="s">
        <v>155</v>
      </c>
      <c r="BD51" t="s">
        <v>155</v>
      </c>
      <c r="BI51">
        <v>0.1</v>
      </c>
    </row>
    <row r="52" spans="1:61" x14ac:dyDescent="0.2">
      <c r="A52" t="s">
        <v>282</v>
      </c>
      <c r="B52" t="s">
        <v>283</v>
      </c>
      <c r="C52" t="s">
        <v>287</v>
      </c>
      <c r="D52" t="s">
        <v>275</v>
      </c>
      <c r="E52" s="1" t="s">
        <v>168</v>
      </c>
      <c r="F52" s="1" t="s">
        <v>153</v>
      </c>
      <c r="G52" t="s">
        <v>288</v>
      </c>
      <c r="H52" t="s">
        <v>155</v>
      </c>
      <c r="M52">
        <v>4</v>
      </c>
      <c r="N52">
        <v>116</v>
      </c>
      <c r="Q52">
        <v>8</v>
      </c>
      <c r="T52" t="s">
        <v>155</v>
      </c>
      <c r="W52">
        <v>18</v>
      </c>
      <c r="Z52" t="s">
        <v>155</v>
      </c>
      <c r="AC52">
        <v>22</v>
      </c>
      <c r="AF52" t="s">
        <v>155</v>
      </c>
      <c r="AI52">
        <v>12</v>
      </c>
      <c r="AL52" t="s">
        <v>155</v>
      </c>
      <c r="AO52" t="s">
        <v>155</v>
      </c>
      <c r="AR52" t="s">
        <v>155</v>
      </c>
      <c r="AU52" t="s">
        <v>155</v>
      </c>
      <c r="AX52" t="s">
        <v>155</v>
      </c>
      <c r="BA52" t="s">
        <v>155</v>
      </c>
      <c r="BD52" t="s">
        <v>155</v>
      </c>
      <c r="BI52">
        <v>0.1</v>
      </c>
    </row>
    <row r="53" spans="1:61" x14ac:dyDescent="0.2">
      <c r="A53" t="s">
        <v>289</v>
      </c>
      <c r="B53" t="s">
        <v>290</v>
      </c>
      <c r="C53" t="s">
        <v>291</v>
      </c>
      <c r="D53" t="s">
        <v>292</v>
      </c>
      <c r="E53" s="1" t="s">
        <v>168</v>
      </c>
      <c r="F53" s="1" t="s">
        <v>140</v>
      </c>
      <c r="G53" t="s">
        <v>293</v>
      </c>
      <c r="H53">
        <v>1300</v>
      </c>
      <c r="K53" t="s">
        <v>155</v>
      </c>
      <c r="N53" t="s">
        <v>155</v>
      </c>
      <c r="Q53" t="s">
        <v>155</v>
      </c>
      <c r="T53" t="s">
        <v>155</v>
      </c>
      <c r="W53">
        <v>17</v>
      </c>
      <c r="Z53" t="s">
        <v>155</v>
      </c>
      <c r="AC53" t="s">
        <v>155</v>
      </c>
      <c r="AF53">
        <v>1400</v>
      </c>
      <c r="AI53" t="s">
        <v>155</v>
      </c>
      <c r="AL53" t="s">
        <v>155</v>
      </c>
      <c r="AO53" t="s">
        <v>155</v>
      </c>
      <c r="AR53" t="s">
        <v>155</v>
      </c>
      <c r="AU53" t="s">
        <v>155</v>
      </c>
      <c r="AX53" t="s">
        <v>155</v>
      </c>
      <c r="BA53">
        <v>27</v>
      </c>
      <c r="BD53" t="s">
        <v>155</v>
      </c>
      <c r="BG53" t="s">
        <v>155</v>
      </c>
    </row>
    <row r="54" spans="1:61" x14ac:dyDescent="0.2">
      <c r="A54" t="s">
        <v>289</v>
      </c>
      <c r="B54" t="s">
        <v>294</v>
      </c>
      <c r="C54" t="s">
        <v>291</v>
      </c>
      <c r="D54" t="s">
        <v>292</v>
      </c>
      <c r="E54" s="1" t="s">
        <v>8</v>
      </c>
      <c r="F54" s="1" t="s">
        <v>141</v>
      </c>
      <c r="G54" t="s">
        <v>295</v>
      </c>
      <c r="H54">
        <v>2100</v>
      </c>
      <c r="K54" t="s">
        <v>155</v>
      </c>
      <c r="N54" t="s">
        <v>155</v>
      </c>
      <c r="Q54" t="s">
        <v>155</v>
      </c>
      <c r="T54" t="s">
        <v>155</v>
      </c>
      <c r="W54">
        <v>26</v>
      </c>
      <c r="Z54" t="s">
        <v>155</v>
      </c>
      <c r="AC54" t="s">
        <v>155</v>
      </c>
      <c r="AF54">
        <v>1100</v>
      </c>
      <c r="AI54" t="s">
        <v>155</v>
      </c>
      <c r="AL54" t="s">
        <v>155</v>
      </c>
      <c r="AO54" t="s">
        <v>155</v>
      </c>
      <c r="AR54" t="s">
        <v>155</v>
      </c>
      <c r="AU54" t="s">
        <v>155</v>
      </c>
      <c r="AX54" t="s">
        <v>155</v>
      </c>
      <c r="BA54">
        <v>17</v>
      </c>
      <c r="BD54" t="s">
        <v>155</v>
      </c>
      <c r="BG54" t="s">
        <v>155</v>
      </c>
    </row>
    <row r="55" spans="1:61" x14ac:dyDescent="0.2">
      <c r="A55" t="s">
        <v>296</v>
      </c>
      <c r="B55" t="s">
        <v>297</v>
      </c>
      <c r="C55" t="s">
        <v>298</v>
      </c>
      <c r="D55" t="s">
        <v>299</v>
      </c>
      <c r="F55" s="1" t="s">
        <v>141</v>
      </c>
      <c r="G55" t="s">
        <v>300</v>
      </c>
      <c r="H55">
        <v>22688</v>
      </c>
      <c r="K55">
        <v>12</v>
      </c>
      <c r="N55" t="s">
        <v>155</v>
      </c>
      <c r="S55">
        <v>10</v>
      </c>
      <c r="T55" t="s">
        <v>155</v>
      </c>
      <c r="W55">
        <v>198</v>
      </c>
      <c r="Z55" t="s">
        <v>155</v>
      </c>
      <c r="AC55">
        <v>24</v>
      </c>
      <c r="AF55">
        <v>87760</v>
      </c>
      <c r="AI55">
        <v>28</v>
      </c>
      <c r="AL55">
        <v>1540</v>
      </c>
      <c r="AO55" t="s">
        <v>155</v>
      </c>
      <c r="AR55">
        <v>18</v>
      </c>
      <c r="AU55" t="s">
        <v>155</v>
      </c>
      <c r="AX55" t="s">
        <v>155</v>
      </c>
      <c r="BA55" t="s">
        <v>155</v>
      </c>
      <c r="BD55">
        <v>42</v>
      </c>
      <c r="BI55">
        <v>0.08</v>
      </c>
    </row>
    <row r="56" spans="1:61" x14ac:dyDescent="0.2">
      <c r="A56" t="s">
        <v>301</v>
      </c>
      <c r="B56" t="s">
        <v>302</v>
      </c>
      <c r="C56" t="s">
        <v>303</v>
      </c>
      <c r="D56" t="s">
        <v>304</v>
      </c>
      <c r="E56" s="1" t="s">
        <v>168</v>
      </c>
      <c r="F56" s="1" t="s">
        <v>140</v>
      </c>
      <c r="G56" t="s">
        <v>305</v>
      </c>
      <c r="H56" t="s">
        <v>155</v>
      </c>
      <c r="K56">
        <v>1.5</v>
      </c>
      <c r="N56">
        <v>39</v>
      </c>
      <c r="S56">
        <v>2.5</v>
      </c>
      <c r="T56" t="s">
        <v>155</v>
      </c>
      <c r="W56">
        <v>44</v>
      </c>
      <c r="Z56" t="s">
        <v>155</v>
      </c>
      <c r="AC56" t="s">
        <v>155</v>
      </c>
      <c r="AF56" t="s">
        <v>155</v>
      </c>
      <c r="AI56">
        <v>5</v>
      </c>
      <c r="AL56" t="s">
        <v>155</v>
      </c>
      <c r="AO56" t="s">
        <v>155</v>
      </c>
      <c r="AR56" t="s">
        <v>155</v>
      </c>
      <c r="AU56" t="s">
        <v>155</v>
      </c>
      <c r="AX56" t="s">
        <v>155</v>
      </c>
      <c r="BA56" t="s">
        <v>155</v>
      </c>
      <c r="BD56" t="s">
        <v>155</v>
      </c>
      <c r="BI56">
        <v>0.1</v>
      </c>
    </row>
    <row r="57" spans="1:61" x14ac:dyDescent="0.2">
      <c r="A57" t="s">
        <v>306</v>
      </c>
      <c r="B57" t="s">
        <v>307</v>
      </c>
      <c r="C57" t="s">
        <v>308</v>
      </c>
      <c r="D57" t="s">
        <v>309</v>
      </c>
      <c r="E57" s="1" t="s">
        <v>168</v>
      </c>
      <c r="F57" s="1" t="s">
        <v>153</v>
      </c>
      <c r="G57" t="s">
        <v>310</v>
      </c>
      <c r="H57">
        <v>12000</v>
      </c>
      <c r="M57">
        <v>2.2000000000000002</v>
      </c>
      <c r="N57">
        <v>200</v>
      </c>
      <c r="S57">
        <v>0.24</v>
      </c>
      <c r="T57">
        <v>2400</v>
      </c>
      <c r="W57">
        <v>36</v>
      </c>
      <c r="Z57">
        <v>18</v>
      </c>
      <c r="AC57">
        <v>28</v>
      </c>
      <c r="AF57">
        <v>25000</v>
      </c>
      <c r="AI57">
        <v>13</v>
      </c>
      <c r="AL57">
        <v>4400</v>
      </c>
      <c r="AO57">
        <v>510</v>
      </c>
      <c r="AR57">
        <v>17</v>
      </c>
      <c r="AV57" s="16">
        <f>(2600*17.49)</f>
        <v>45473.999999999993</v>
      </c>
      <c r="AX57">
        <v>370</v>
      </c>
      <c r="BA57">
        <v>73</v>
      </c>
      <c r="BD57">
        <v>79</v>
      </c>
      <c r="BI57">
        <v>0.15</v>
      </c>
    </row>
    <row r="58" spans="1:61" x14ac:dyDescent="0.2">
      <c r="A58" t="s">
        <v>306</v>
      </c>
      <c r="B58" t="s">
        <v>307</v>
      </c>
      <c r="C58" t="s">
        <v>308</v>
      </c>
      <c r="D58" t="s">
        <v>309</v>
      </c>
      <c r="E58" s="1" t="s">
        <v>168</v>
      </c>
      <c r="F58" s="1" t="s">
        <v>153</v>
      </c>
      <c r="G58" t="s">
        <v>311</v>
      </c>
      <c r="H58">
        <v>11000</v>
      </c>
      <c r="M58">
        <v>2.1</v>
      </c>
      <c r="N58">
        <v>160</v>
      </c>
      <c r="S58">
        <v>0.22</v>
      </c>
      <c r="T58">
        <v>2300</v>
      </c>
      <c r="W58">
        <v>29</v>
      </c>
      <c r="Z58">
        <v>15</v>
      </c>
      <c r="AC58">
        <v>26</v>
      </c>
      <c r="AF58">
        <v>22000</v>
      </c>
      <c r="AI58">
        <v>8.1</v>
      </c>
      <c r="AL58">
        <v>4200</v>
      </c>
      <c r="AO58">
        <v>340</v>
      </c>
      <c r="AR58">
        <v>13</v>
      </c>
      <c r="AV58" s="16">
        <f>(2400*17.49)</f>
        <v>41975.999999999993</v>
      </c>
      <c r="AX58">
        <v>540</v>
      </c>
      <c r="BA58">
        <v>59</v>
      </c>
      <c r="BD58">
        <v>66</v>
      </c>
      <c r="BI58">
        <v>0.14000000000000001</v>
      </c>
    </row>
    <row r="59" spans="1:61" x14ac:dyDescent="0.2">
      <c r="A59" t="s">
        <v>306</v>
      </c>
      <c r="B59" t="s">
        <v>307</v>
      </c>
      <c r="C59" t="s">
        <v>308</v>
      </c>
      <c r="D59" t="s">
        <v>309</v>
      </c>
      <c r="E59" s="1" t="s">
        <v>168</v>
      </c>
      <c r="F59" s="1" t="s">
        <v>153</v>
      </c>
      <c r="G59" t="s">
        <v>312</v>
      </c>
      <c r="H59">
        <v>11000</v>
      </c>
      <c r="M59">
        <v>2.2000000000000002</v>
      </c>
      <c r="N59">
        <v>160</v>
      </c>
      <c r="S59">
        <v>0.23</v>
      </c>
      <c r="T59">
        <v>2000</v>
      </c>
      <c r="W59">
        <v>29</v>
      </c>
      <c r="Z59">
        <v>14</v>
      </c>
      <c r="AC59">
        <v>23</v>
      </c>
      <c r="AF59">
        <v>21000</v>
      </c>
      <c r="AI59">
        <v>9.3000000000000007</v>
      </c>
      <c r="AL59">
        <v>3800</v>
      </c>
      <c r="AO59">
        <v>300</v>
      </c>
      <c r="AR59">
        <v>13</v>
      </c>
      <c r="AV59" s="16">
        <f>(900*17.49)</f>
        <v>15740.999999999998</v>
      </c>
      <c r="AX59">
        <v>470</v>
      </c>
      <c r="BA59">
        <v>60</v>
      </c>
      <c r="BD59">
        <v>62</v>
      </c>
      <c r="BI59">
        <v>0.15</v>
      </c>
    </row>
    <row r="60" spans="1:61" x14ac:dyDescent="0.2">
      <c r="A60" t="s">
        <v>306</v>
      </c>
      <c r="B60" t="s">
        <v>307</v>
      </c>
      <c r="C60" t="s">
        <v>308</v>
      </c>
      <c r="D60" t="s">
        <v>309</v>
      </c>
      <c r="E60" s="1" t="s">
        <v>168</v>
      </c>
      <c r="F60" s="1" t="s">
        <v>153</v>
      </c>
      <c r="G60" t="s">
        <v>313</v>
      </c>
      <c r="H60">
        <v>4600</v>
      </c>
      <c r="M60">
        <v>1.8</v>
      </c>
      <c r="N60">
        <v>67</v>
      </c>
      <c r="S60">
        <v>0.2</v>
      </c>
      <c r="T60">
        <v>980</v>
      </c>
      <c r="W60">
        <v>16</v>
      </c>
      <c r="Z60">
        <v>7.5</v>
      </c>
      <c r="AC60">
        <v>12</v>
      </c>
      <c r="AF60">
        <v>11000</v>
      </c>
      <c r="AI60">
        <v>5.9</v>
      </c>
      <c r="AL60">
        <v>1600</v>
      </c>
      <c r="AO60">
        <v>250</v>
      </c>
      <c r="AR60">
        <v>6.3</v>
      </c>
      <c r="AV60" s="16">
        <f>(2400*17.49)</f>
        <v>41975.999999999993</v>
      </c>
      <c r="AX60">
        <v>360</v>
      </c>
      <c r="BA60">
        <v>26</v>
      </c>
      <c r="BD60">
        <v>35</v>
      </c>
      <c r="BI60">
        <v>0.12</v>
      </c>
    </row>
    <row r="61" spans="1:61" x14ac:dyDescent="0.2">
      <c r="A61" t="s">
        <v>306</v>
      </c>
      <c r="B61" t="s">
        <v>307</v>
      </c>
      <c r="C61" t="s">
        <v>308</v>
      </c>
      <c r="D61" t="s">
        <v>309</v>
      </c>
      <c r="E61" s="1" t="s">
        <v>168</v>
      </c>
      <c r="F61" s="1" t="s">
        <v>141</v>
      </c>
      <c r="G61" t="s">
        <v>314</v>
      </c>
      <c r="H61">
        <v>22000</v>
      </c>
      <c r="M61">
        <v>4.3</v>
      </c>
      <c r="N61">
        <v>470</v>
      </c>
      <c r="S61">
        <v>0.18</v>
      </c>
      <c r="T61">
        <v>2000</v>
      </c>
      <c r="W61">
        <v>72</v>
      </c>
      <c r="Z61">
        <v>26</v>
      </c>
      <c r="AC61">
        <v>34</v>
      </c>
      <c r="AF61">
        <v>37000</v>
      </c>
      <c r="AI61">
        <v>10</v>
      </c>
      <c r="AL61">
        <v>10000</v>
      </c>
      <c r="AO61">
        <v>790</v>
      </c>
      <c r="AR61">
        <v>23</v>
      </c>
      <c r="AV61" s="16">
        <f>(7200*17.49)</f>
        <v>125927.99999999999</v>
      </c>
      <c r="AX61">
        <v>220</v>
      </c>
      <c r="BA61">
        <v>87</v>
      </c>
      <c r="BD61">
        <v>85</v>
      </c>
      <c r="BI61">
        <v>0.12</v>
      </c>
    </row>
    <row r="62" spans="1:61" x14ac:dyDescent="0.2">
      <c r="A62" t="s">
        <v>306</v>
      </c>
      <c r="B62" t="s">
        <v>315</v>
      </c>
      <c r="C62" t="s">
        <v>316</v>
      </c>
      <c r="D62" t="s">
        <v>317</v>
      </c>
      <c r="E62" s="1" t="s">
        <v>168</v>
      </c>
      <c r="F62" s="1" t="s">
        <v>140</v>
      </c>
      <c r="G62" t="s">
        <v>318</v>
      </c>
      <c r="H62">
        <v>43000</v>
      </c>
      <c r="K62">
        <v>3.5</v>
      </c>
      <c r="N62">
        <v>270</v>
      </c>
      <c r="S62">
        <v>1.1000000000000001</v>
      </c>
      <c r="T62">
        <v>2700</v>
      </c>
      <c r="W62">
        <v>88</v>
      </c>
      <c r="Z62">
        <v>24</v>
      </c>
      <c r="AC62">
        <v>42</v>
      </c>
      <c r="AF62">
        <v>48000</v>
      </c>
      <c r="AJ62" s="16">
        <f>(13*1.44)</f>
        <v>18.72</v>
      </c>
      <c r="AL62">
        <v>7600</v>
      </c>
      <c r="AQ62">
        <v>590</v>
      </c>
      <c r="AR62">
        <v>35</v>
      </c>
      <c r="AU62">
        <v>3700</v>
      </c>
      <c r="AX62">
        <v>3600</v>
      </c>
      <c r="BA62">
        <v>120</v>
      </c>
      <c r="BD62">
        <v>76</v>
      </c>
      <c r="BI62">
        <v>0.13</v>
      </c>
    </row>
    <row r="63" spans="1:61" x14ac:dyDescent="0.2">
      <c r="A63" t="s">
        <v>306</v>
      </c>
      <c r="B63" t="s">
        <v>315</v>
      </c>
      <c r="C63" t="s">
        <v>316</v>
      </c>
      <c r="D63" t="s">
        <v>317</v>
      </c>
      <c r="E63" s="1" t="s">
        <v>168</v>
      </c>
      <c r="F63" s="1" t="s">
        <v>153</v>
      </c>
      <c r="G63" t="s">
        <v>319</v>
      </c>
      <c r="H63">
        <v>37000</v>
      </c>
      <c r="M63">
        <v>2</v>
      </c>
      <c r="N63">
        <v>290</v>
      </c>
      <c r="S63">
        <v>1.5</v>
      </c>
      <c r="T63">
        <v>2400</v>
      </c>
      <c r="W63">
        <v>48</v>
      </c>
      <c r="Z63">
        <v>28</v>
      </c>
      <c r="AC63">
        <v>32</v>
      </c>
      <c r="AF63">
        <v>49000</v>
      </c>
      <c r="AJ63" s="16">
        <f>(31*1.44)</f>
        <v>44.64</v>
      </c>
      <c r="AL63">
        <v>7800</v>
      </c>
      <c r="AO63">
        <v>920</v>
      </c>
      <c r="AR63">
        <v>28</v>
      </c>
      <c r="AU63">
        <v>4500</v>
      </c>
      <c r="AZ63">
        <v>360</v>
      </c>
      <c r="BA63">
        <v>100</v>
      </c>
      <c r="BD63">
        <v>99</v>
      </c>
      <c r="BI63">
        <v>0.18</v>
      </c>
    </row>
    <row r="64" spans="1:61" x14ac:dyDescent="0.2">
      <c r="A64" t="s">
        <v>306</v>
      </c>
      <c r="B64" t="s">
        <v>315</v>
      </c>
      <c r="C64" t="s">
        <v>316</v>
      </c>
      <c r="D64" t="s">
        <v>317</v>
      </c>
      <c r="E64" s="1" t="s">
        <v>168</v>
      </c>
      <c r="F64" s="1" t="s">
        <v>141</v>
      </c>
      <c r="G64" t="s">
        <v>320</v>
      </c>
      <c r="H64">
        <v>22000</v>
      </c>
      <c r="M64">
        <v>2</v>
      </c>
      <c r="N64">
        <v>170</v>
      </c>
      <c r="S64">
        <v>0.96</v>
      </c>
      <c r="T64">
        <v>2900</v>
      </c>
      <c r="W64">
        <v>68</v>
      </c>
      <c r="Z64">
        <v>23</v>
      </c>
      <c r="AC64">
        <v>36</v>
      </c>
      <c r="AF64">
        <v>30000</v>
      </c>
      <c r="AJ64" s="16">
        <f>(5.6*1.44)</f>
        <v>8.0640000000000001</v>
      </c>
      <c r="AL64">
        <v>6300</v>
      </c>
      <c r="AO64">
        <v>560</v>
      </c>
      <c r="AR64">
        <v>24</v>
      </c>
      <c r="AU64">
        <v>2700</v>
      </c>
      <c r="AZ64">
        <v>320</v>
      </c>
      <c r="BA64">
        <v>81</v>
      </c>
      <c r="BD64">
        <v>47</v>
      </c>
      <c r="BI64">
        <v>0.12</v>
      </c>
    </row>
    <row r="65" spans="1:61" x14ac:dyDescent="0.2">
      <c r="A65" t="s">
        <v>321</v>
      </c>
      <c r="B65" t="s">
        <v>322</v>
      </c>
      <c r="C65" t="s">
        <v>323</v>
      </c>
      <c r="D65" t="s">
        <v>324</v>
      </c>
      <c r="E65" s="1" t="s">
        <v>8</v>
      </c>
      <c r="F65" s="1" t="s">
        <v>140</v>
      </c>
      <c r="G65" t="s">
        <v>325</v>
      </c>
      <c r="H65">
        <v>800</v>
      </c>
      <c r="K65">
        <v>0.56000000000000005</v>
      </c>
      <c r="N65">
        <v>2.9</v>
      </c>
      <c r="S65">
        <v>0.54</v>
      </c>
      <c r="T65">
        <v>54</v>
      </c>
      <c r="W65">
        <v>2.4</v>
      </c>
      <c r="AB65">
        <v>2.2000000000000002</v>
      </c>
      <c r="AE65">
        <v>2.2000000000000002</v>
      </c>
      <c r="AF65">
        <v>730</v>
      </c>
      <c r="AI65">
        <v>0.76</v>
      </c>
      <c r="AL65">
        <v>130</v>
      </c>
      <c r="AO65">
        <v>9.6999999999999993</v>
      </c>
      <c r="AT65">
        <v>2.2000000000000002</v>
      </c>
      <c r="AU65">
        <v>120</v>
      </c>
      <c r="AZ65">
        <v>110</v>
      </c>
      <c r="BA65">
        <v>2.2000000000000002</v>
      </c>
      <c r="BD65">
        <v>2.8</v>
      </c>
      <c r="BI65">
        <v>0.11</v>
      </c>
    </row>
    <row r="66" spans="1:61" x14ac:dyDescent="0.2">
      <c r="A66" t="s">
        <v>321</v>
      </c>
      <c r="B66" t="s">
        <v>322</v>
      </c>
      <c r="C66" t="s">
        <v>323</v>
      </c>
      <c r="D66" t="s">
        <v>324</v>
      </c>
      <c r="E66" s="1" t="s">
        <v>8</v>
      </c>
      <c r="F66" s="1" t="s">
        <v>140</v>
      </c>
      <c r="G66" t="s">
        <v>326</v>
      </c>
      <c r="H66">
        <v>770</v>
      </c>
      <c r="K66" t="s">
        <v>174</v>
      </c>
      <c r="M66">
        <v>0.55000000000000004</v>
      </c>
      <c r="N66">
        <v>3.4</v>
      </c>
      <c r="S66">
        <v>0.55000000000000004</v>
      </c>
      <c r="T66">
        <v>55</v>
      </c>
      <c r="W66">
        <v>2.7</v>
      </c>
      <c r="AB66">
        <v>2.2000000000000002</v>
      </c>
      <c r="AE66">
        <v>2.2000000000000002</v>
      </c>
      <c r="AF66">
        <v>830</v>
      </c>
      <c r="AI66">
        <v>2.6</v>
      </c>
      <c r="AL66">
        <v>120</v>
      </c>
      <c r="AO66">
        <v>14</v>
      </c>
      <c r="AT66">
        <v>2.2000000000000002</v>
      </c>
      <c r="AU66">
        <v>130</v>
      </c>
      <c r="AZ66">
        <v>110</v>
      </c>
      <c r="BA66">
        <v>2.6</v>
      </c>
      <c r="BD66">
        <v>4.9000000000000004</v>
      </c>
      <c r="BI66">
        <v>0.11</v>
      </c>
    </row>
    <row r="67" spans="1:61" x14ac:dyDescent="0.2">
      <c r="A67" t="s">
        <v>321</v>
      </c>
      <c r="B67" t="s">
        <v>322</v>
      </c>
      <c r="C67" t="s">
        <v>323</v>
      </c>
      <c r="D67" t="s">
        <v>324</v>
      </c>
      <c r="E67" s="1" t="s">
        <v>8</v>
      </c>
      <c r="F67" s="1" t="s">
        <v>140</v>
      </c>
      <c r="G67" t="s">
        <v>327</v>
      </c>
      <c r="H67">
        <v>1100</v>
      </c>
      <c r="K67">
        <v>1.2</v>
      </c>
      <c r="N67">
        <v>4.2</v>
      </c>
      <c r="S67">
        <v>0.62</v>
      </c>
      <c r="V67">
        <v>62</v>
      </c>
      <c r="W67">
        <v>2.6</v>
      </c>
      <c r="AB67">
        <v>2.5</v>
      </c>
      <c r="AE67">
        <v>2.5</v>
      </c>
      <c r="AF67">
        <v>1100</v>
      </c>
      <c r="AI67">
        <v>0.94</v>
      </c>
      <c r="AL67">
        <v>140</v>
      </c>
      <c r="AO67">
        <v>11</v>
      </c>
      <c r="AT67">
        <v>2.5</v>
      </c>
      <c r="AU67">
        <v>160</v>
      </c>
      <c r="AZ67">
        <v>120</v>
      </c>
      <c r="BA67">
        <v>3.5</v>
      </c>
      <c r="BD67">
        <v>3.8</v>
      </c>
      <c r="BI67">
        <v>0.12</v>
      </c>
    </row>
    <row r="68" spans="1:61" x14ac:dyDescent="0.2">
      <c r="A68" t="s">
        <v>321</v>
      </c>
      <c r="B68" t="s">
        <v>322</v>
      </c>
      <c r="C68" t="s">
        <v>323</v>
      </c>
      <c r="D68" t="s">
        <v>324</v>
      </c>
      <c r="E68" s="1" t="s">
        <v>8</v>
      </c>
      <c r="F68" s="1" t="s">
        <v>140</v>
      </c>
      <c r="G68" t="s">
        <v>328</v>
      </c>
      <c r="H68">
        <v>1200</v>
      </c>
      <c r="K68">
        <v>0.7</v>
      </c>
      <c r="N68">
        <v>4.0999999999999996</v>
      </c>
      <c r="S68">
        <v>0.52</v>
      </c>
      <c r="V68">
        <v>52</v>
      </c>
      <c r="W68">
        <v>2.6</v>
      </c>
      <c r="AB68">
        <v>2.1</v>
      </c>
      <c r="AE68">
        <v>2.1</v>
      </c>
      <c r="AF68">
        <v>1100</v>
      </c>
      <c r="AI68">
        <v>1.3</v>
      </c>
      <c r="AL68">
        <v>160</v>
      </c>
      <c r="AO68">
        <v>13</v>
      </c>
      <c r="AT68">
        <v>2.1</v>
      </c>
      <c r="AU68">
        <v>140</v>
      </c>
      <c r="AZ68">
        <v>100</v>
      </c>
      <c r="BA68">
        <v>3.4</v>
      </c>
      <c r="BD68">
        <v>4.3</v>
      </c>
      <c r="BI68">
        <v>0.1</v>
      </c>
    </row>
    <row r="69" spans="1:61" x14ac:dyDescent="0.2">
      <c r="A69" t="s">
        <v>321</v>
      </c>
      <c r="B69" t="s">
        <v>322</v>
      </c>
      <c r="C69" t="s">
        <v>323</v>
      </c>
      <c r="D69" t="s">
        <v>324</v>
      </c>
      <c r="E69" s="1" t="s">
        <v>8</v>
      </c>
      <c r="F69" s="1" t="s">
        <v>140</v>
      </c>
      <c r="G69" t="s">
        <v>329</v>
      </c>
      <c r="H69">
        <v>13000</v>
      </c>
      <c r="K69">
        <v>1.4</v>
      </c>
      <c r="N69">
        <v>75</v>
      </c>
      <c r="Q69">
        <v>0.8</v>
      </c>
      <c r="T69">
        <v>330</v>
      </c>
      <c r="W69">
        <v>18</v>
      </c>
      <c r="Z69">
        <v>3</v>
      </c>
      <c r="AC69">
        <v>5.3</v>
      </c>
      <c r="AF69">
        <v>5200</v>
      </c>
      <c r="AI69">
        <v>7.6</v>
      </c>
      <c r="AL69">
        <v>860</v>
      </c>
      <c r="AO69">
        <v>44</v>
      </c>
      <c r="AR69">
        <v>7.1</v>
      </c>
      <c r="AU69">
        <v>410</v>
      </c>
      <c r="AX69">
        <v>130</v>
      </c>
      <c r="BA69">
        <v>17</v>
      </c>
      <c r="BD69">
        <v>16</v>
      </c>
      <c r="BI69">
        <v>0.11</v>
      </c>
    </row>
    <row r="70" spans="1:61" x14ac:dyDescent="0.2">
      <c r="A70" t="s">
        <v>330</v>
      </c>
      <c r="B70" t="s">
        <v>331</v>
      </c>
      <c r="C70" t="s">
        <v>332</v>
      </c>
      <c r="D70" t="s">
        <v>127</v>
      </c>
      <c r="E70" s="1" t="s">
        <v>168</v>
      </c>
      <c r="F70" s="1" t="s">
        <v>140</v>
      </c>
      <c r="G70" t="s">
        <v>333</v>
      </c>
      <c r="I70" s="16">
        <f>(3100*1.66)</f>
        <v>5146</v>
      </c>
      <c r="L70">
        <v>2.5</v>
      </c>
      <c r="N70">
        <v>12</v>
      </c>
      <c r="S70">
        <v>0.97</v>
      </c>
      <c r="T70">
        <v>1200</v>
      </c>
      <c r="W70">
        <v>5.3</v>
      </c>
      <c r="AB70">
        <v>1.7</v>
      </c>
      <c r="AE70">
        <v>4</v>
      </c>
      <c r="AF70">
        <v>2900</v>
      </c>
      <c r="AJ70" s="16">
        <f>(10*1.44)</f>
        <v>14.399999999999999</v>
      </c>
      <c r="AL70">
        <v>190</v>
      </c>
      <c r="AP70" s="16">
        <f>(36*1.24)</f>
        <v>44.64</v>
      </c>
      <c r="AT70">
        <v>6.2</v>
      </c>
      <c r="AW70">
        <v>200</v>
      </c>
      <c r="AZ70">
        <v>140</v>
      </c>
      <c r="BA70">
        <v>9.8000000000000007</v>
      </c>
      <c r="BF70">
        <v>30</v>
      </c>
      <c r="BI70">
        <v>0.12</v>
      </c>
    </row>
    <row r="71" spans="1:61" x14ac:dyDescent="0.2">
      <c r="A71" t="s">
        <v>330</v>
      </c>
      <c r="B71" t="s">
        <v>331</v>
      </c>
      <c r="C71" t="s">
        <v>332</v>
      </c>
      <c r="D71" t="s">
        <v>127</v>
      </c>
      <c r="E71" s="1" t="s">
        <v>168</v>
      </c>
      <c r="F71" s="1" t="s">
        <v>153</v>
      </c>
      <c r="G71" t="s">
        <v>334</v>
      </c>
      <c r="I71" s="16">
        <f>(3100*1.66)</f>
        <v>5146</v>
      </c>
      <c r="L71">
        <v>2.5</v>
      </c>
      <c r="N71">
        <v>12</v>
      </c>
      <c r="S71">
        <v>0.97</v>
      </c>
      <c r="T71">
        <v>1200</v>
      </c>
      <c r="W71">
        <v>5.3</v>
      </c>
      <c r="AB71">
        <v>1.7</v>
      </c>
      <c r="AE71">
        <v>4</v>
      </c>
      <c r="AF71">
        <v>2900</v>
      </c>
      <c r="AJ71" s="16">
        <f>(10*1.44)</f>
        <v>14.399999999999999</v>
      </c>
      <c r="AL71">
        <v>190</v>
      </c>
      <c r="AP71" s="16">
        <f>(36*1.24)</f>
        <v>44.64</v>
      </c>
      <c r="AT71">
        <v>6.2</v>
      </c>
      <c r="AW71">
        <v>200</v>
      </c>
      <c r="AZ71">
        <v>140</v>
      </c>
      <c r="BA71">
        <v>9.8000000000000007</v>
      </c>
      <c r="BF71">
        <v>30</v>
      </c>
      <c r="BI71">
        <v>0.12</v>
      </c>
    </row>
    <row r="72" spans="1:61" x14ac:dyDescent="0.2">
      <c r="A72" t="s">
        <v>335</v>
      </c>
      <c r="B72" t="s">
        <v>336</v>
      </c>
      <c r="C72" t="s">
        <v>337</v>
      </c>
      <c r="D72" t="s">
        <v>338</v>
      </c>
      <c r="E72" s="1" t="s">
        <v>8</v>
      </c>
      <c r="F72" s="1" t="s">
        <v>140</v>
      </c>
      <c r="G72" t="s">
        <v>339</v>
      </c>
      <c r="H72" t="s">
        <v>155</v>
      </c>
      <c r="M72">
        <v>0.97</v>
      </c>
      <c r="N72">
        <v>16</v>
      </c>
      <c r="S72">
        <v>7.8</v>
      </c>
      <c r="T72" t="s">
        <v>155</v>
      </c>
      <c r="W72">
        <v>19</v>
      </c>
      <c r="Z72" t="s">
        <v>155</v>
      </c>
      <c r="AC72" t="s">
        <v>155</v>
      </c>
      <c r="AF72" t="s">
        <v>155</v>
      </c>
      <c r="AI72">
        <v>12</v>
      </c>
      <c r="AL72" t="s">
        <v>155</v>
      </c>
      <c r="AO72" t="s">
        <v>155</v>
      </c>
      <c r="AR72" t="s">
        <v>155</v>
      </c>
      <c r="AU72" t="s">
        <v>155</v>
      </c>
      <c r="AX72" t="s">
        <v>155</v>
      </c>
      <c r="BA72" t="s">
        <v>155</v>
      </c>
      <c r="BD72" t="s">
        <v>155</v>
      </c>
      <c r="BI72">
        <v>0.1</v>
      </c>
    </row>
    <row r="73" spans="1:61" x14ac:dyDescent="0.2">
      <c r="A73" t="s">
        <v>340</v>
      </c>
      <c r="B73" t="s">
        <v>341</v>
      </c>
      <c r="C73" t="s">
        <v>342</v>
      </c>
      <c r="D73" t="s">
        <v>343</v>
      </c>
      <c r="E73" s="1" t="s">
        <v>168</v>
      </c>
      <c r="F73" s="1" t="s">
        <v>141</v>
      </c>
      <c r="G73" t="s">
        <v>344</v>
      </c>
      <c r="H73" t="s">
        <v>155</v>
      </c>
      <c r="M73">
        <v>2</v>
      </c>
      <c r="N73" t="s">
        <v>155</v>
      </c>
      <c r="Q73" t="s">
        <v>155</v>
      </c>
      <c r="T73" t="s">
        <v>155</v>
      </c>
      <c r="Y73">
        <v>35</v>
      </c>
      <c r="Z73" t="s">
        <v>155</v>
      </c>
      <c r="AE73">
        <v>9</v>
      </c>
      <c r="AF73" t="s">
        <v>155</v>
      </c>
      <c r="AI73">
        <v>35</v>
      </c>
      <c r="AL73" t="s">
        <v>155</v>
      </c>
      <c r="AO73" t="s">
        <v>155</v>
      </c>
      <c r="AR73" t="s">
        <v>155</v>
      </c>
      <c r="AU73" t="s">
        <v>155</v>
      </c>
      <c r="AX73" t="s">
        <v>155</v>
      </c>
      <c r="BA73" t="s">
        <v>155</v>
      </c>
      <c r="BD73" t="s">
        <v>155</v>
      </c>
      <c r="BI73">
        <v>0.1</v>
      </c>
    </row>
    <row r="74" spans="1:61" x14ac:dyDescent="0.2">
      <c r="A74" t="s">
        <v>345</v>
      </c>
      <c r="B74" t="s">
        <v>346</v>
      </c>
      <c r="C74" t="s">
        <v>347</v>
      </c>
      <c r="D74" t="s">
        <v>127</v>
      </c>
      <c r="E74" s="1" t="s">
        <v>168</v>
      </c>
      <c r="F74" s="1" t="s">
        <v>140</v>
      </c>
      <c r="G74" t="s">
        <v>348</v>
      </c>
      <c r="I74" s="16">
        <f>(6600*1.66)</f>
        <v>10956</v>
      </c>
      <c r="M74">
        <v>1</v>
      </c>
      <c r="P74">
        <v>8</v>
      </c>
      <c r="S74">
        <v>1.1000000000000001</v>
      </c>
      <c r="V74">
        <v>250</v>
      </c>
      <c r="X74" s="16">
        <f>(6.4*1.29)</f>
        <v>8.2560000000000002</v>
      </c>
      <c r="AB74">
        <v>1.3</v>
      </c>
      <c r="AE74">
        <v>2</v>
      </c>
      <c r="AG74" s="16">
        <f>(5900*1.34)</f>
        <v>7906.0000000000009</v>
      </c>
      <c r="AJ74" s="16">
        <f>(8.5*1.44)</f>
        <v>12.24</v>
      </c>
      <c r="AN74">
        <v>130</v>
      </c>
      <c r="AQ74">
        <v>3</v>
      </c>
      <c r="AT74">
        <v>2.9</v>
      </c>
      <c r="AW74">
        <v>490</v>
      </c>
      <c r="AZ74">
        <v>180</v>
      </c>
      <c r="BB74" s="16">
        <f>(19*1.34)</f>
        <v>25.46</v>
      </c>
      <c r="BD74">
        <v>6.4</v>
      </c>
      <c r="BI74">
        <v>0.28000000000000003</v>
      </c>
    </row>
    <row r="75" spans="1:61" x14ac:dyDescent="0.2">
      <c r="A75" t="s">
        <v>345</v>
      </c>
      <c r="B75" t="s">
        <v>346</v>
      </c>
      <c r="C75" t="s">
        <v>347</v>
      </c>
      <c r="D75" t="s">
        <v>127</v>
      </c>
      <c r="E75" s="1" t="s">
        <v>168</v>
      </c>
      <c r="F75" s="1" t="s">
        <v>153</v>
      </c>
      <c r="G75" t="s">
        <v>349</v>
      </c>
      <c r="H75" t="s">
        <v>155</v>
      </c>
      <c r="M75">
        <v>2</v>
      </c>
      <c r="P75">
        <v>7</v>
      </c>
      <c r="S75">
        <v>15</v>
      </c>
      <c r="T75" t="s">
        <v>155</v>
      </c>
      <c r="Y75">
        <v>20</v>
      </c>
      <c r="Z75" t="s">
        <v>155</v>
      </c>
      <c r="AC75" t="s">
        <v>155</v>
      </c>
      <c r="AF75" t="s">
        <v>155</v>
      </c>
      <c r="AK75">
        <v>20</v>
      </c>
      <c r="AL75" t="s">
        <v>155</v>
      </c>
      <c r="AO75" t="s">
        <v>155</v>
      </c>
      <c r="AR75" t="s">
        <v>155</v>
      </c>
      <c r="AU75" t="s">
        <v>155</v>
      </c>
      <c r="AX75" t="s">
        <v>155</v>
      </c>
      <c r="BA75" t="s">
        <v>155</v>
      </c>
      <c r="BD75" t="s">
        <v>155</v>
      </c>
      <c r="BI75">
        <v>0.09</v>
      </c>
    </row>
    <row r="76" spans="1:61" x14ac:dyDescent="0.2">
      <c r="A76" s="10" t="s">
        <v>350</v>
      </c>
      <c r="B76" s="10" t="s">
        <v>351</v>
      </c>
      <c r="C76" s="10" t="s">
        <v>352</v>
      </c>
      <c r="D76" s="10" t="s">
        <v>353</v>
      </c>
      <c r="E76" s="11" t="s">
        <v>168</v>
      </c>
      <c r="F76" s="11" t="s">
        <v>140</v>
      </c>
      <c r="G76" s="10" t="s">
        <v>354</v>
      </c>
      <c r="H76">
        <v>27000</v>
      </c>
      <c r="M76">
        <v>1.3</v>
      </c>
      <c r="N76">
        <v>67</v>
      </c>
      <c r="S76">
        <v>0.67</v>
      </c>
      <c r="T76">
        <v>1100</v>
      </c>
      <c r="W76">
        <v>15</v>
      </c>
      <c r="AB76">
        <v>6.7</v>
      </c>
      <c r="AC76">
        <v>4.3</v>
      </c>
      <c r="AF76">
        <v>21000</v>
      </c>
      <c r="AI76">
        <v>16</v>
      </c>
      <c r="AL76">
        <v>2700</v>
      </c>
      <c r="AO76">
        <v>190</v>
      </c>
      <c r="AR76">
        <v>5.8</v>
      </c>
      <c r="AU76">
        <v>2700</v>
      </c>
      <c r="AZ76">
        <v>670</v>
      </c>
      <c r="BA76">
        <v>28</v>
      </c>
      <c r="BE76" s="16">
        <f>(59*1.5)</f>
        <v>88.5</v>
      </c>
      <c r="BI76">
        <v>0.12</v>
      </c>
    </row>
    <row r="77" spans="1:61" x14ac:dyDescent="0.2">
      <c r="A77" s="10" t="s">
        <v>350</v>
      </c>
      <c r="B77" s="10" t="s">
        <v>351</v>
      </c>
      <c r="C77" s="10" t="s">
        <v>352</v>
      </c>
      <c r="D77" s="10" t="s">
        <v>353</v>
      </c>
      <c r="E77" s="11" t="s">
        <v>168</v>
      </c>
      <c r="F77" s="11" t="s">
        <v>140</v>
      </c>
      <c r="G77" s="10" t="s">
        <v>355</v>
      </c>
      <c r="H77">
        <v>40000</v>
      </c>
      <c r="L77" s="16">
        <f>(3.3*1.74)</f>
        <v>5.742</v>
      </c>
      <c r="N77">
        <v>160</v>
      </c>
      <c r="S77">
        <v>0.66</v>
      </c>
      <c r="T77">
        <v>2500</v>
      </c>
      <c r="W77">
        <v>96</v>
      </c>
      <c r="Z77">
        <v>19</v>
      </c>
      <c r="AD77" s="16">
        <f>(19*1.22)</f>
        <v>23.18</v>
      </c>
      <c r="AF77">
        <v>29000</v>
      </c>
      <c r="AI77">
        <v>16</v>
      </c>
      <c r="AL77">
        <v>7000</v>
      </c>
      <c r="AO77">
        <v>660</v>
      </c>
      <c r="AR77">
        <v>45</v>
      </c>
      <c r="AU77">
        <v>2700</v>
      </c>
      <c r="AZ77">
        <v>660</v>
      </c>
      <c r="BB77" s="16">
        <f>(69*1.34)</f>
        <v>92.460000000000008</v>
      </c>
      <c r="BD77">
        <v>75</v>
      </c>
      <c r="BI77">
        <v>0.12</v>
      </c>
    </row>
    <row r="78" spans="1:61" x14ac:dyDescent="0.2">
      <c r="A78" s="10" t="s">
        <v>350</v>
      </c>
      <c r="B78" s="10" t="s">
        <v>351</v>
      </c>
      <c r="C78" s="10" t="s">
        <v>352</v>
      </c>
      <c r="D78" s="10" t="s">
        <v>353</v>
      </c>
      <c r="E78" s="11" t="s">
        <v>168</v>
      </c>
      <c r="F78" s="11" t="s">
        <v>153</v>
      </c>
      <c r="G78" s="10" t="s">
        <v>356</v>
      </c>
      <c r="H78">
        <v>22000</v>
      </c>
      <c r="L78" s="16">
        <f>(1.8*1.74)</f>
        <v>3.1320000000000001</v>
      </c>
      <c r="N78">
        <v>95</v>
      </c>
      <c r="S78">
        <v>0.57999999999999996</v>
      </c>
      <c r="V78">
        <v>580</v>
      </c>
      <c r="W78">
        <v>61</v>
      </c>
      <c r="Z78">
        <v>6.9</v>
      </c>
      <c r="AD78" s="16">
        <f>(12*1.22)</f>
        <v>14.64</v>
      </c>
      <c r="AF78">
        <v>14000</v>
      </c>
      <c r="AI78">
        <v>21</v>
      </c>
      <c r="AL78">
        <v>3800</v>
      </c>
      <c r="AO78">
        <v>110</v>
      </c>
      <c r="AR78">
        <v>16</v>
      </c>
      <c r="AU78">
        <v>2800</v>
      </c>
      <c r="AZ78">
        <v>580</v>
      </c>
      <c r="BB78" s="16">
        <f>(47*1.34)</f>
        <v>62.980000000000004</v>
      </c>
      <c r="BD78">
        <v>89</v>
      </c>
      <c r="BI78">
        <v>0.13</v>
      </c>
    </row>
    <row r="79" spans="1:61" x14ac:dyDescent="0.2">
      <c r="A79" s="10" t="s">
        <v>350</v>
      </c>
      <c r="B79" s="10" t="s">
        <v>351</v>
      </c>
      <c r="C79" s="10" t="s">
        <v>352</v>
      </c>
      <c r="D79" s="10" t="s">
        <v>353</v>
      </c>
      <c r="E79" s="11" t="s">
        <v>168</v>
      </c>
      <c r="F79" s="11" t="s">
        <v>153</v>
      </c>
      <c r="G79" s="10" t="s">
        <v>357</v>
      </c>
      <c r="H79">
        <v>9200</v>
      </c>
      <c r="M79">
        <v>1.2</v>
      </c>
      <c r="N79">
        <v>59</v>
      </c>
      <c r="S79">
        <v>0.61</v>
      </c>
      <c r="V79">
        <v>610</v>
      </c>
      <c r="W79">
        <v>35</v>
      </c>
      <c r="AB79">
        <v>6.1</v>
      </c>
      <c r="AD79" s="16">
        <f>(9*1.22)</f>
        <v>10.98</v>
      </c>
      <c r="AF79">
        <v>8500</v>
      </c>
      <c r="AI79">
        <v>32</v>
      </c>
      <c r="AL79">
        <v>2600</v>
      </c>
      <c r="AO79">
        <v>150</v>
      </c>
      <c r="AR79">
        <v>9.3000000000000007</v>
      </c>
      <c r="AU79">
        <v>1800</v>
      </c>
      <c r="AZ79">
        <v>610</v>
      </c>
      <c r="BB79" s="16">
        <f>(22*1.34)</f>
        <v>29.48</v>
      </c>
      <c r="BD79">
        <v>74</v>
      </c>
      <c r="BI79">
        <v>0.14000000000000001</v>
      </c>
    </row>
    <row r="80" spans="1:61" x14ac:dyDescent="0.2">
      <c r="A80" s="10" t="s">
        <v>350</v>
      </c>
      <c r="B80" s="10" t="s">
        <v>351</v>
      </c>
      <c r="C80" s="10" t="s">
        <v>352</v>
      </c>
      <c r="D80" s="10" t="s">
        <v>353</v>
      </c>
      <c r="E80" s="11" t="s">
        <v>168</v>
      </c>
      <c r="F80" s="11" t="s">
        <v>153</v>
      </c>
      <c r="G80" s="10" t="s">
        <v>358</v>
      </c>
      <c r="H80">
        <v>6500</v>
      </c>
      <c r="K80">
        <v>0.47</v>
      </c>
      <c r="N80">
        <v>55</v>
      </c>
      <c r="S80">
        <v>0.12</v>
      </c>
      <c r="T80">
        <v>490</v>
      </c>
      <c r="W80">
        <v>23</v>
      </c>
      <c r="Z80">
        <v>2.6</v>
      </c>
      <c r="AC80">
        <v>8.3000000000000007</v>
      </c>
      <c r="AF80">
        <v>8600</v>
      </c>
      <c r="AI80">
        <v>15</v>
      </c>
      <c r="AL80">
        <v>3100</v>
      </c>
      <c r="AO80">
        <v>130</v>
      </c>
      <c r="AR80">
        <v>5.4</v>
      </c>
      <c r="AU80">
        <v>2200</v>
      </c>
      <c r="AZ80">
        <v>100</v>
      </c>
      <c r="BA80">
        <v>20</v>
      </c>
      <c r="BD80">
        <v>38</v>
      </c>
      <c r="BI80">
        <v>2.7E-2</v>
      </c>
    </row>
    <row r="81" spans="1:61" x14ac:dyDescent="0.2">
      <c r="A81" t="s">
        <v>359</v>
      </c>
      <c r="B81" t="s">
        <v>360</v>
      </c>
      <c r="C81" t="s">
        <v>180</v>
      </c>
      <c r="D81" t="s">
        <v>136</v>
      </c>
      <c r="E81" s="1" t="s">
        <v>8</v>
      </c>
      <c r="F81" s="1" t="s">
        <v>140</v>
      </c>
      <c r="G81" t="s">
        <v>361</v>
      </c>
      <c r="H81" t="s">
        <v>155</v>
      </c>
      <c r="M81">
        <v>3.9</v>
      </c>
      <c r="N81">
        <v>140</v>
      </c>
      <c r="S81">
        <v>9.8000000000000007</v>
      </c>
      <c r="W81">
        <v>150</v>
      </c>
      <c r="Z81" t="s">
        <v>155</v>
      </c>
      <c r="AC81">
        <v>20</v>
      </c>
      <c r="AI81">
        <v>9.8000000000000007</v>
      </c>
      <c r="AL81" t="s">
        <v>155</v>
      </c>
      <c r="AO81" t="s">
        <v>155</v>
      </c>
      <c r="AR81" t="s">
        <v>155</v>
      </c>
      <c r="AU81" t="s">
        <v>155</v>
      </c>
      <c r="AX81" t="s">
        <v>155</v>
      </c>
      <c r="BA81" t="s">
        <v>155</v>
      </c>
      <c r="BD81">
        <v>57</v>
      </c>
      <c r="BI81">
        <v>0.09</v>
      </c>
    </row>
    <row r="82" spans="1:61" x14ac:dyDescent="0.2">
      <c r="A82" t="s">
        <v>362</v>
      </c>
      <c r="B82" t="s">
        <v>360</v>
      </c>
      <c r="C82" t="s">
        <v>180</v>
      </c>
      <c r="D82" t="s">
        <v>136</v>
      </c>
      <c r="E82" s="1" t="s">
        <v>8</v>
      </c>
      <c r="F82" s="1" t="s">
        <v>153</v>
      </c>
      <c r="G82" t="s">
        <v>363</v>
      </c>
      <c r="H82" t="s">
        <v>155</v>
      </c>
      <c r="M82">
        <v>3.9</v>
      </c>
      <c r="N82">
        <v>59</v>
      </c>
      <c r="S82">
        <v>9.8000000000000007</v>
      </c>
      <c r="W82">
        <v>170</v>
      </c>
      <c r="Z82" t="s">
        <v>155</v>
      </c>
      <c r="AE82">
        <v>9.8000000000000007</v>
      </c>
      <c r="AF82" t="s">
        <v>155</v>
      </c>
      <c r="AK82">
        <v>9.8000000000000007</v>
      </c>
      <c r="AL82" t="s">
        <v>155</v>
      </c>
      <c r="AO82" t="s">
        <v>155</v>
      </c>
      <c r="AR82" t="s">
        <v>155</v>
      </c>
      <c r="AU82" t="s">
        <v>155</v>
      </c>
      <c r="AX82" t="s">
        <v>155</v>
      </c>
      <c r="BA82" t="s">
        <v>155</v>
      </c>
      <c r="BD82">
        <v>22</v>
      </c>
      <c r="BI82">
        <v>0.09</v>
      </c>
    </row>
    <row r="83" spans="1:61" x14ac:dyDescent="0.2">
      <c r="A83" t="s">
        <v>364</v>
      </c>
      <c r="B83" t="s">
        <v>365</v>
      </c>
      <c r="C83" t="s">
        <v>366</v>
      </c>
      <c r="D83" t="s">
        <v>367</v>
      </c>
      <c r="E83" s="1" t="s">
        <v>168</v>
      </c>
      <c r="F83" s="1" t="s">
        <v>141</v>
      </c>
      <c r="G83" t="s">
        <v>368</v>
      </c>
      <c r="H83" t="s">
        <v>155</v>
      </c>
      <c r="M83">
        <v>4</v>
      </c>
      <c r="P83">
        <v>20</v>
      </c>
      <c r="S83">
        <v>10</v>
      </c>
      <c r="V83">
        <v>98</v>
      </c>
      <c r="Y83">
        <v>10</v>
      </c>
      <c r="AB83">
        <v>10</v>
      </c>
      <c r="AE83">
        <v>10</v>
      </c>
      <c r="AF83">
        <v>8294</v>
      </c>
      <c r="AK83">
        <v>10</v>
      </c>
      <c r="AL83">
        <v>274</v>
      </c>
      <c r="AO83">
        <v>41.2</v>
      </c>
      <c r="AT83">
        <v>10</v>
      </c>
      <c r="AU83" t="s">
        <v>155</v>
      </c>
      <c r="AX83" t="s">
        <v>155</v>
      </c>
      <c r="BA83">
        <v>21.6</v>
      </c>
      <c r="BD83">
        <v>70.599999999999994</v>
      </c>
      <c r="BI83">
        <v>0.08</v>
      </c>
    </row>
    <row r="84" spans="1:61" x14ac:dyDescent="0.2">
      <c r="A84" t="s">
        <v>364</v>
      </c>
      <c r="B84" t="s">
        <v>365</v>
      </c>
      <c r="C84" t="s">
        <v>366</v>
      </c>
      <c r="D84" t="s">
        <v>367</v>
      </c>
      <c r="E84" s="1" t="s">
        <v>168</v>
      </c>
      <c r="F84" s="1" t="s">
        <v>153</v>
      </c>
      <c r="G84" t="s">
        <v>369</v>
      </c>
      <c r="H84" t="s">
        <v>155</v>
      </c>
      <c r="M84">
        <v>4</v>
      </c>
      <c r="P84">
        <v>80</v>
      </c>
      <c r="S84">
        <v>10</v>
      </c>
      <c r="T84">
        <v>240</v>
      </c>
      <c r="Y84">
        <v>10</v>
      </c>
      <c r="Z84">
        <v>12</v>
      </c>
      <c r="AC84">
        <v>16</v>
      </c>
      <c r="AF84">
        <v>24660</v>
      </c>
      <c r="AI84">
        <v>10</v>
      </c>
      <c r="AL84">
        <v>1380</v>
      </c>
      <c r="AO84">
        <v>412</v>
      </c>
      <c r="AR84">
        <v>14</v>
      </c>
      <c r="AU84" t="s">
        <v>155</v>
      </c>
      <c r="AX84" t="s">
        <v>155</v>
      </c>
      <c r="BA84">
        <v>44</v>
      </c>
      <c r="BD84">
        <v>68</v>
      </c>
      <c r="BI84">
        <v>0.08</v>
      </c>
    </row>
    <row r="85" spans="1:61" x14ac:dyDescent="0.2">
      <c r="A85" t="s">
        <v>370</v>
      </c>
      <c r="B85" t="s">
        <v>371</v>
      </c>
      <c r="C85" t="s">
        <v>372</v>
      </c>
      <c r="D85" t="s">
        <v>373</v>
      </c>
      <c r="E85" s="1" t="s">
        <v>168</v>
      </c>
      <c r="F85" s="1" t="s">
        <v>153</v>
      </c>
      <c r="G85" t="s">
        <v>374</v>
      </c>
      <c r="H85" t="s">
        <v>155</v>
      </c>
      <c r="M85">
        <v>4</v>
      </c>
      <c r="N85">
        <v>18</v>
      </c>
      <c r="S85">
        <v>16</v>
      </c>
      <c r="T85" t="s">
        <v>155</v>
      </c>
      <c r="Y85">
        <v>20</v>
      </c>
      <c r="Z85" t="s">
        <v>155</v>
      </c>
      <c r="AC85" t="s">
        <v>155</v>
      </c>
      <c r="AF85" t="s">
        <v>155</v>
      </c>
      <c r="AI85">
        <v>20</v>
      </c>
      <c r="AL85" t="s">
        <v>155</v>
      </c>
      <c r="AO85" t="s">
        <v>155</v>
      </c>
      <c r="AR85" t="s">
        <v>155</v>
      </c>
      <c r="AU85" t="s">
        <v>155</v>
      </c>
      <c r="AX85" t="s">
        <v>155</v>
      </c>
      <c r="BA85" t="s">
        <v>155</v>
      </c>
      <c r="BD85" t="s">
        <v>155</v>
      </c>
      <c r="BI85">
        <v>0.1</v>
      </c>
    </row>
    <row r="86" spans="1:61" x14ac:dyDescent="0.2">
      <c r="A86" t="s">
        <v>370</v>
      </c>
      <c r="B86" t="s">
        <v>371</v>
      </c>
      <c r="C86" t="s">
        <v>372</v>
      </c>
      <c r="D86" t="s">
        <v>373</v>
      </c>
      <c r="E86" s="1" t="s">
        <v>168</v>
      </c>
      <c r="F86" s="1" t="s">
        <v>140</v>
      </c>
      <c r="G86" t="s">
        <v>375</v>
      </c>
      <c r="H86" t="s">
        <v>155</v>
      </c>
      <c r="M86">
        <v>4</v>
      </c>
      <c r="N86">
        <v>33</v>
      </c>
      <c r="S86">
        <v>16</v>
      </c>
      <c r="T86" t="s">
        <v>155</v>
      </c>
      <c r="W86" t="s">
        <v>155</v>
      </c>
      <c r="Y86">
        <v>20</v>
      </c>
      <c r="Z86" t="s">
        <v>155</v>
      </c>
      <c r="AC86" t="s">
        <v>155</v>
      </c>
      <c r="AF86" t="s">
        <v>155</v>
      </c>
      <c r="AI86">
        <v>20</v>
      </c>
      <c r="AL86" t="s">
        <v>155</v>
      </c>
      <c r="AO86" t="s">
        <v>155</v>
      </c>
      <c r="AR86" t="s">
        <v>155</v>
      </c>
      <c r="AU86" t="s">
        <v>155</v>
      </c>
      <c r="AX86" t="s">
        <v>155</v>
      </c>
      <c r="BA86" t="s">
        <v>155</v>
      </c>
      <c r="BD86" t="s">
        <v>155</v>
      </c>
      <c r="BI86">
        <v>0.09</v>
      </c>
    </row>
    <row r="87" spans="1:61" x14ac:dyDescent="0.2">
      <c r="A87" t="s">
        <v>376</v>
      </c>
      <c r="B87" t="s">
        <v>377</v>
      </c>
      <c r="C87" t="s">
        <v>378</v>
      </c>
      <c r="D87" t="s">
        <v>379</v>
      </c>
      <c r="E87" s="1" t="s">
        <v>168</v>
      </c>
      <c r="F87" s="1" t="s">
        <v>140</v>
      </c>
      <c r="G87" t="s">
        <v>380</v>
      </c>
      <c r="H87" t="s">
        <v>155</v>
      </c>
      <c r="M87">
        <v>0.5</v>
      </c>
      <c r="N87">
        <v>71</v>
      </c>
      <c r="S87">
        <v>4</v>
      </c>
      <c r="T87" t="s">
        <v>155</v>
      </c>
      <c r="Y87">
        <v>10</v>
      </c>
      <c r="Z87" t="s">
        <v>155</v>
      </c>
      <c r="AC87" t="s">
        <v>155</v>
      </c>
      <c r="AF87" t="s">
        <v>155</v>
      </c>
      <c r="AI87">
        <v>64</v>
      </c>
      <c r="AL87" t="s">
        <v>155</v>
      </c>
      <c r="AO87" t="s">
        <v>155</v>
      </c>
      <c r="AR87" t="s">
        <v>155</v>
      </c>
      <c r="AU87" t="s">
        <v>155</v>
      </c>
      <c r="AX87" t="s">
        <v>155</v>
      </c>
      <c r="BA87" t="s">
        <v>155</v>
      </c>
      <c r="BD87" t="s">
        <v>155</v>
      </c>
      <c r="BG87" t="s">
        <v>155</v>
      </c>
    </row>
    <row r="88" spans="1:61" x14ac:dyDescent="0.2">
      <c r="A88" t="s">
        <v>381</v>
      </c>
      <c r="B88" t="s">
        <v>382</v>
      </c>
      <c r="C88" t="s">
        <v>383</v>
      </c>
      <c r="D88" t="s">
        <v>384</v>
      </c>
      <c r="E88" s="1" t="s">
        <v>168</v>
      </c>
      <c r="F88" s="1" t="s">
        <v>140</v>
      </c>
      <c r="G88" t="s">
        <v>385</v>
      </c>
      <c r="H88" t="s">
        <v>155</v>
      </c>
      <c r="K88">
        <v>1.9</v>
      </c>
      <c r="N88">
        <v>29</v>
      </c>
      <c r="O88" t="s">
        <v>155</v>
      </c>
      <c r="S88">
        <v>10</v>
      </c>
      <c r="W88">
        <v>14</v>
      </c>
      <c r="Z88" t="s">
        <v>155</v>
      </c>
      <c r="AC88" t="s">
        <v>155</v>
      </c>
      <c r="AF88" t="s">
        <v>155</v>
      </c>
      <c r="AK88">
        <v>20</v>
      </c>
      <c r="AL88" t="s">
        <v>155</v>
      </c>
      <c r="AO88" t="s">
        <v>155</v>
      </c>
      <c r="AR88" t="s">
        <v>155</v>
      </c>
      <c r="AU88" t="s">
        <v>155</v>
      </c>
      <c r="AX88" t="s">
        <v>155</v>
      </c>
      <c r="BA88" t="s">
        <v>155</v>
      </c>
      <c r="BD88" t="s">
        <v>155</v>
      </c>
      <c r="BI88">
        <v>0.1</v>
      </c>
    </row>
    <row r="89" spans="1:61" x14ac:dyDescent="0.2">
      <c r="A89" t="s">
        <v>381</v>
      </c>
      <c r="B89" t="s">
        <v>382</v>
      </c>
      <c r="C89" t="s">
        <v>383</v>
      </c>
      <c r="D89" t="s">
        <v>384</v>
      </c>
      <c r="E89" s="1" t="s">
        <v>168</v>
      </c>
      <c r="F89" s="1" t="s">
        <v>153</v>
      </c>
      <c r="G89" t="s">
        <v>386</v>
      </c>
      <c r="H89" t="s">
        <v>155</v>
      </c>
      <c r="K89">
        <v>1.9</v>
      </c>
      <c r="N89">
        <v>10</v>
      </c>
      <c r="O89" t="s">
        <v>155</v>
      </c>
      <c r="S89">
        <v>10</v>
      </c>
      <c r="Y89">
        <v>10</v>
      </c>
      <c r="Z89" t="s">
        <v>155</v>
      </c>
      <c r="AC89" t="s">
        <v>155</v>
      </c>
      <c r="AF89" t="s">
        <v>155</v>
      </c>
      <c r="AI89">
        <v>20</v>
      </c>
      <c r="AL89" t="s">
        <v>155</v>
      </c>
      <c r="AO89" t="s">
        <v>155</v>
      </c>
      <c r="AR89" t="s">
        <v>155</v>
      </c>
      <c r="AU89" t="s">
        <v>155</v>
      </c>
      <c r="AX89" t="s">
        <v>155</v>
      </c>
      <c r="BA89" t="s">
        <v>155</v>
      </c>
      <c r="BD89" t="s">
        <v>155</v>
      </c>
      <c r="BI89">
        <v>0.09</v>
      </c>
    </row>
    <row r="90" spans="1:61" x14ac:dyDescent="0.2">
      <c r="A90" s="10" t="s">
        <v>387</v>
      </c>
      <c r="B90" s="10" t="s">
        <v>388</v>
      </c>
      <c r="C90" s="10" t="s">
        <v>230</v>
      </c>
      <c r="D90" s="10" t="s">
        <v>389</v>
      </c>
      <c r="E90" s="11" t="s">
        <v>8</v>
      </c>
      <c r="F90" s="11" t="s">
        <v>153</v>
      </c>
      <c r="G90" s="10" t="s">
        <v>390</v>
      </c>
      <c r="I90" s="16">
        <f>(2600*1.66)</f>
        <v>4316</v>
      </c>
      <c r="N90">
        <v>17</v>
      </c>
      <c r="Q90">
        <v>0.8</v>
      </c>
      <c r="U90" s="16">
        <f>(31000*1.28)</f>
        <v>39680</v>
      </c>
      <c r="W90">
        <v>12</v>
      </c>
      <c r="Z90">
        <v>2.7</v>
      </c>
      <c r="AD90" s="16">
        <f>(130*1.22)</f>
        <v>158.6</v>
      </c>
      <c r="AF90">
        <v>16000</v>
      </c>
      <c r="AJ90" s="16">
        <f>(60*1.44)</f>
        <v>86.399999999999991</v>
      </c>
      <c r="AL90">
        <v>3000</v>
      </c>
      <c r="AO90">
        <v>79</v>
      </c>
      <c r="AR90">
        <v>7.5</v>
      </c>
      <c r="AU90">
        <v>550</v>
      </c>
      <c r="AX90">
        <v>3000</v>
      </c>
      <c r="BA90">
        <v>8.6</v>
      </c>
      <c r="BD90">
        <v>110</v>
      </c>
      <c r="BI90">
        <v>0.13</v>
      </c>
    </row>
    <row r="91" spans="1:61" x14ac:dyDescent="0.2">
      <c r="A91" s="10" t="s">
        <v>387</v>
      </c>
      <c r="B91" s="10" t="s">
        <v>388</v>
      </c>
      <c r="C91" s="10" t="s">
        <v>230</v>
      </c>
      <c r="D91" s="10" t="s">
        <v>389</v>
      </c>
      <c r="E91" s="11" t="s">
        <v>168</v>
      </c>
      <c r="F91" s="11" t="s">
        <v>153</v>
      </c>
      <c r="G91" s="10" t="s">
        <v>391</v>
      </c>
      <c r="I91" s="16">
        <f>(5600*1.66)</f>
        <v>9296</v>
      </c>
      <c r="N91">
        <v>13</v>
      </c>
      <c r="S91">
        <v>0.34</v>
      </c>
      <c r="U91" s="16">
        <f>(29000*1.28)</f>
        <v>37120</v>
      </c>
      <c r="W91">
        <v>19</v>
      </c>
      <c r="Z91">
        <v>2.6</v>
      </c>
      <c r="AD91" s="16">
        <f>(18*1.22)</f>
        <v>21.96</v>
      </c>
      <c r="AF91">
        <v>11000</v>
      </c>
      <c r="AJ91" s="16">
        <f>(21*1.44)</f>
        <v>30.24</v>
      </c>
      <c r="AL91">
        <v>4000</v>
      </c>
      <c r="AO91">
        <v>75</v>
      </c>
      <c r="AR91">
        <v>5</v>
      </c>
      <c r="AU91">
        <v>1400</v>
      </c>
      <c r="AX91">
        <v>6600</v>
      </c>
      <c r="BA91">
        <v>17</v>
      </c>
      <c r="BD91">
        <v>66</v>
      </c>
      <c r="BI91">
        <v>0.13</v>
      </c>
    </row>
    <row r="92" spans="1:61" x14ac:dyDescent="0.2">
      <c r="A92" s="10" t="s">
        <v>387</v>
      </c>
      <c r="B92" s="10" t="s">
        <v>388</v>
      </c>
      <c r="C92" s="10" t="s">
        <v>230</v>
      </c>
      <c r="D92" s="10" t="s">
        <v>389</v>
      </c>
      <c r="E92" s="11" t="s">
        <v>168</v>
      </c>
      <c r="F92" s="11" t="s">
        <v>153</v>
      </c>
      <c r="G92" s="10" t="s">
        <v>392</v>
      </c>
      <c r="I92" s="16">
        <f>(2900*1.66)</f>
        <v>4814</v>
      </c>
      <c r="N92">
        <v>26</v>
      </c>
      <c r="Q92">
        <v>0.5</v>
      </c>
      <c r="U92" s="16">
        <f>(12000*1.28)</f>
        <v>15360</v>
      </c>
      <c r="W92">
        <v>10</v>
      </c>
      <c r="Z92">
        <v>1.8</v>
      </c>
      <c r="AD92" s="16">
        <f>(49*1.22)</f>
        <v>59.78</v>
      </c>
      <c r="AF92">
        <v>11000</v>
      </c>
      <c r="AJ92" s="16">
        <f>(110*1.44)</f>
        <v>158.4</v>
      </c>
      <c r="AL92">
        <v>2200</v>
      </c>
      <c r="AO92">
        <v>67</v>
      </c>
      <c r="AR92">
        <v>6.4</v>
      </c>
      <c r="AU92">
        <v>620</v>
      </c>
      <c r="AX92">
        <v>3500</v>
      </c>
      <c r="BA92">
        <v>9.1</v>
      </c>
      <c r="BD92">
        <v>180</v>
      </c>
      <c r="BI92">
        <v>0.12</v>
      </c>
    </row>
    <row r="93" spans="1:61" x14ac:dyDescent="0.2">
      <c r="A93" s="10" t="s">
        <v>387</v>
      </c>
      <c r="B93" s="10" t="s">
        <v>388</v>
      </c>
      <c r="C93" s="10" t="s">
        <v>230</v>
      </c>
      <c r="D93" s="10" t="s">
        <v>389</v>
      </c>
      <c r="E93" s="11" t="s">
        <v>168</v>
      </c>
      <c r="F93" s="11" t="s">
        <v>153</v>
      </c>
      <c r="G93" s="10" t="s">
        <v>393</v>
      </c>
      <c r="I93" s="16">
        <f>(4400*1.66)</f>
        <v>7304</v>
      </c>
      <c r="N93">
        <v>14</v>
      </c>
      <c r="S93">
        <v>133</v>
      </c>
      <c r="U93" s="16">
        <f>(17000*1.28)</f>
        <v>21760</v>
      </c>
      <c r="W93">
        <v>14</v>
      </c>
      <c r="Z93">
        <v>2.6</v>
      </c>
      <c r="AD93" s="16">
        <f>(54*1.22)</f>
        <v>65.88</v>
      </c>
      <c r="AF93">
        <v>8400</v>
      </c>
      <c r="AJ93" s="16">
        <f>(57*1.44)</f>
        <v>82.08</v>
      </c>
      <c r="AL93">
        <v>3000</v>
      </c>
      <c r="AO93">
        <v>57</v>
      </c>
      <c r="AR93">
        <v>4.2</v>
      </c>
      <c r="AU93">
        <v>930</v>
      </c>
      <c r="AX93">
        <v>4400</v>
      </c>
      <c r="BA93">
        <v>13</v>
      </c>
      <c r="BD93">
        <v>90</v>
      </c>
      <c r="BI93">
        <v>0.12</v>
      </c>
    </row>
    <row r="94" spans="1:61" x14ac:dyDescent="0.2">
      <c r="A94" s="10" t="s">
        <v>387</v>
      </c>
      <c r="B94" s="10" t="s">
        <v>388</v>
      </c>
      <c r="C94" s="10" t="s">
        <v>230</v>
      </c>
      <c r="D94" s="10" t="s">
        <v>389</v>
      </c>
      <c r="E94" s="11" t="s">
        <v>8</v>
      </c>
      <c r="F94" s="11" t="s">
        <v>153</v>
      </c>
      <c r="G94" s="10" t="s">
        <v>394</v>
      </c>
      <c r="H94">
        <v>5700</v>
      </c>
      <c r="L94" s="16">
        <f>(2.4*1.74)</f>
        <v>4.1760000000000002</v>
      </c>
      <c r="N94">
        <v>18</v>
      </c>
      <c r="S94">
        <v>0.1</v>
      </c>
      <c r="T94">
        <v>16000</v>
      </c>
      <c r="W94">
        <v>17</v>
      </c>
      <c r="Z94">
        <v>1.9</v>
      </c>
      <c r="AD94" s="16">
        <f>(18*1.22)</f>
        <v>21.96</v>
      </c>
      <c r="AF94">
        <v>8900</v>
      </c>
      <c r="AJ94" s="16">
        <f>(21*1.44)</f>
        <v>30.24</v>
      </c>
      <c r="AL94">
        <v>3800</v>
      </c>
      <c r="AO94">
        <v>64</v>
      </c>
      <c r="AR94">
        <v>5.6</v>
      </c>
      <c r="AV94" s="16">
        <f>(1300*17.49)</f>
        <v>22736.999999999996</v>
      </c>
      <c r="AX94">
        <v>7600</v>
      </c>
      <c r="BA94">
        <v>18</v>
      </c>
      <c r="BE94" s="16">
        <f>(54*1.5)</f>
        <v>81</v>
      </c>
      <c r="BG94">
        <v>0.16</v>
      </c>
    </row>
    <row r="95" spans="1:61" x14ac:dyDescent="0.2">
      <c r="A95" s="10" t="s">
        <v>387</v>
      </c>
      <c r="B95" s="10" t="s">
        <v>388</v>
      </c>
      <c r="C95" s="10" t="s">
        <v>230</v>
      </c>
      <c r="D95" s="10" t="s">
        <v>389</v>
      </c>
      <c r="E95" s="11" t="s">
        <v>168</v>
      </c>
      <c r="F95" s="11" t="s">
        <v>153</v>
      </c>
      <c r="G95" s="10" t="s">
        <v>395</v>
      </c>
      <c r="H95">
        <v>4200</v>
      </c>
      <c r="L95" s="16">
        <f>(3.6*1.74)</f>
        <v>6.2640000000000002</v>
      </c>
      <c r="N95">
        <v>11</v>
      </c>
      <c r="S95">
        <v>0.09</v>
      </c>
      <c r="T95">
        <v>22000</v>
      </c>
      <c r="W95">
        <v>16</v>
      </c>
      <c r="Z95">
        <v>1.4</v>
      </c>
      <c r="AD95" s="16">
        <f>(75*1.22)</f>
        <v>91.5</v>
      </c>
      <c r="AF95">
        <v>8000</v>
      </c>
      <c r="AJ95" s="16">
        <f>(30*1.44)</f>
        <v>43.199999999999996</v>
      </c>
      <c r="AL95">
        <v>2800</v>
      </c>
      <c r="AO95">
        <v>53</v>
      </c>
      <c r="AR95">
        <v>4.9000000000000004</v>
      </c>
      <c r="AV95" s="16">
        <f>(880*17.49)</f>
        <v>15391.199999999999</v>
      </c>
      <c r="AX95">
        <v>3600</v>
      </c>
      <c r="BA95">
        <v>15</v>
      </c>
      <c r="BE95" s="16">
        <f>(67*1.5)</f>
        <v>100.5</v>
      </c>
      <c r="BI95">
        <v>0.12</v>
      </c>
    </row>
    <row r="96" spans="1:61" x14ac:dyDescent="0.2">
      <c r="A96" s="10" t="s">
        <v>387</v>
      </c>
      <c r="B96" s="10" t="s">
        <v>388</v>
      </c>
      <c r="C96" s="10" t="s">
        <v>230</v>
      </c>
      <c r="D96" s="10" t="s">
        <v>389</v>
      </c>
      <c r="E96" s="11" t="s">
        <v>168</v>
      </c>
      <c r="F96" s="11" t="s">
        <v>153</v>
      </c>
      <c r="G96" s="10" t="s">
        <v>396</v>
      </c>
      <c r="H96">
        <v>3400</v>
      </c>
      <c r="M96">
        <v>1.2</v>
      </c>
      <c r="N96">
        <v>13</v>
      </c>
      <c r="S96">
        <v>0.08</v>
      </c>
      <c r="T96">
        <v>30000</v>
      </c>
      <c r="W96">
        <v>12</v>
      </c>
      <c r="Z96">
        <v>1.1000000000000001</v>
      </c>
      <c r="AD96" s="16">
        <f>(43*1.22)</f>
        <v>52.46</v>
      </c>
      <c r="AF96">
        <v>6900</v>
      </c>
      <c r="AJ96" s="16">
        <f>(42*1.44)</f>
        <v>60.48</v>
      </c>
      <c r="AL96">
        <v>2600</v>
      </c>
      <c r="AO96">
        <v>46</v>
      </c>
      <c r="AR96">
        <v>4.5999999999999996</v>
      </c>
      <c r="AV96" s="16">
        <f>(690*17.49)</f>
        <v>12068.099999999999</v>
      </c>
      <c r="AX96">
        <v>2800</v>
      </c>
      <c r="BA96">
        <v>13</v>
      </c>
      <c r="BE96" s="16">
        <f>(83*1.5)</f>
        <v>124.5</v>
      </c>
      <c r="BI96">
        <v>0.28000000000000003</v>
      </c>
    </row>
    <row r="97" spans="1:61" x14ac:dyDescent="0.2">
      <c r="A97" s="10" t="s">
        <v>387</v>
      </c>
      <c r="B97" s="10" t="s">
        <v>388</v>
      </c>
      <c r="C97" s="10" t="s">
        <v>230</v>
      </c>
      <c r="D97" s="10" t="s">
        <v>389</v>
      </c>
      <c r="E97" s="11" t="s">
        <v>168</v>
      </c>
      <c r="F97" s="11" t="s">
        <v>153</v>
      </c>
      <c r="G97" s="10" t="s">
        <v>397</v>
      </c>
      <c r="H97">
        <v>1200</v>
      </c>
      <c r="M97">
        <v>0.52</v>
      </c>
      <c r="N97">
        <v>18</v>
      </c>
      <c r="S97">
        <v>0.08</v>
      </c>
      <c r="T97">
        <v>12000</v>
      </c>
      <c r="W97">
        <v>4.9000000000000004</v>
      </c>
      <c r="Z97">
        <v>0.53</v>
      </c>
      <c r="AD97" s="16">
        <f>(69*1.22)</f>
        <v>84.179999999999993</v>
      </c>
      <c r="AF97">
        <v>3800</v>
      </c>
      <c r="AJ97" s="16">
        <f>(48*1.44)</f>
        <v>69.12</v>
      </c>
      <c r="AL97">
        <v>840</v>
      </c>
      <c r="AO97">
        <v>30</v>
      </c>
      <c r="AR97">
        <v>1.4</v>
      </c>
      <c r="AV97" s="16">
        <f>(180*17.49)</f>
        <v>3148.2</v>
      </c>
      <c r="AX97">
        <v>540</v>
      </c>
      <c r="BA97">
        <v>5.3</v>
      </c>
      <c r="BE97" s="16">
        <f>(90*1.5)</f>
        <v>135</v>
      </c>
      <c r="BG97">
        <v>0.2</v>
      </c>
    </row>
    <row r="98" spans="1:61" x14ac:dyDescent="0.2">
      <c r="A98" s="10" t="s">
        <v>398</v>
      </c>
      <c r="B98" s="10" t="s">
        <v>399</v>
      </c>
      <c r="C98" s="10" t="s">
        <v>291</v>
      </c>
      <c r="D98" s="10" t="s">
        <v>292</v>
      </c>
      <c r="E98" s="11" t="s">
        <v>8</v>
      </c>
      <c r="F98" s="11" t="s">
        <v>140</v>
      </c>
      <c r="G98" s="10" t="s">
        <v>400</v>
      </c>
      <c r="H98">
        <v>750</v>
      </c>
      <c r="L98" s="16">
        <f>(9.8*1.74)</f>
        <v>17.052</v>
      </c>
      <c r="P98">
        <v>6</v>
      </c>
      <c r="S98">
        <v>0.95</v>
      </c>
      <c r="U98" s="16">
        <f>(1100*1.28)</f>
        <v>1408</v>
      </c>
      <c r="W98">
        <v>2.1</v>
      </c>
      <c r="AB98">
        <v>9.6999999999999993</v>
      </c>
      <c r="AE98">
        <v>3</v>
      </c>
      <c r="AG98" s="16">
        <f>(1400*1.34)</f>
        <v>1876</v>
      </c>
      <c r="AJ98" s="16">
        <f>(47*1.44)</f>
        <v>67.679999999999993</v>
      </c>
      <c r="AL98">
        <v>24</v>
      </c>
      <c r="AQ98">
        <v>4</v>
      </c>
      <c r="AT98">
        <v>8</v>
      </c>
      <c r="AW98">
        <v>22</v>
      </c>
      <c r="AZ98">
        <v>50</v>
      </c>
      <c r="BC98">
        <v>4</v>
      </c>
      <c r="BD98">
        <v>4.8</v>
      </c>
      <c r="BI98">
        <v>0.1</v>
      </c>
    </row>
    <row r="99" spans="1:61" x14ac:dyDescent="0.2">
      <c r="A99" s="10" t="s">
        <v>398</v>
      </c>
      <c r="B99" s="10" t="s">
        <v>401</v>
      </c>
      <c r="C99" s="10" t="s">
        <v>291</v>
      </c>
      <c r="D99" s="10" t="s">
        <v>292</v>
      </c>
      <c r="E99" s="11" t="s">
        <v>168</v>
      </c>
      <c r="F99" s="11" t="s">
        <v>141</v>
      </c>
      <c r="G99" s="10" t="s">
        <v>402</v>
      </c>
      <c r="H99">
        <v>500</v>
      </c>
      <c r="L99" s="16">
        <f>(0.94*1.74)</f>
        <v>1.6355999999999999</v>
      </c>
      <c r="P99">
        <v>6.2</v>
      </c>
      <c r="S99">
        <v>0.97</v>
      </c>
      <c r="V99">
        <v>50</v>
      </c>
      <c r="Y99">
        <v>1.9</v>
      </c>
      <c r="AB99">
        <v>9.9</v>
      </c>
      <c r="AE99">
        <v>1</v>
      </c>
      <c r="AG99" s="16">
        <f>(550*1.34)</f>
        <v>737</v>
      </c>
      <c r="AI99">
        <v>1.9</v>
      </c>
      <c r="AN99">
        <v>21</v>
      </c>
      <c r="AQ99">
        <v>3</v>
      </c>
      <c r="AT99">
        <v>8.3000000000000007</v>
      </c>
      <c r="AW99">
        <v>23</v>
      </c>
      <c r="AZ99">
        <v>100</v>
      </c>
      <c r="BC99">
        <v>4.0999999999999996</v>
      </c>
      <c r="BD99">
        <v>4.0999999999999996</v>
      </c>
      <c r="BI99">
        <v>0.1</v>
      </c>
    </row>
    <row r="100" spans="1:61" x14ac:dyDescent="0.2">
      <c r="A100" s="10" t="s">
        <v>403</v>
      </c>
      <c r="B100" s="10" t="s">
        <v>404</v>
      </c>
      <c r="C100" s="10" t="s">
        <v>405</v>
      </c>
      <c r="D100" s="10" t="s">
        <v>406</v>
      </c>
      <c r="E100" s="11" t="s">
        <v>168</v>
      </c>
      <c r="F100" s="11" t="s">
        <v>153</v>
      </c>
      <c r="G100" s="10" t="s">
        <v>407</v>
      </c>
      <c r="H100">
        <v>3600</v>
      </c>
      <c r="K100" t="s">
        <v>155</v>
      </c>
      <c r="P100">
        <v>43</v>
      </c>
      <c r="S100">
        <v>1.1000000000000001</v>
      </c>
      <c r="V100">
        <v>1100</v>
      </c>
      <c r="X100" s="16">
        <f>(5.3*1.29)</f>
        <v>6.8369999999999997</v>
      </c>
      <c r="AB100">
        <v>11</v>
      </c>
      <c r="AE100">
        <v>3.9</v>
      </c>
      <c r="AF100">
        <v>1400</v>
      </c>
      <c r="AI100">
        <v>8.6999999999999993</v>
      </c>
      <c r="AN100">
        <v>1100</v>
      </c>
      <c r="AP100" s="16">
        <f>(14*1.24)</f>
        <v>17.36</v>
      </c>
      <c r="AT100">
        <v>6.8</v>
      </c>
      <c r="AW100">
        <v>1100</v>
      </c>
      <c r="AZ100">
        <v>290</v>
      </c>
      <c r="BC100">
        <v>4.4000000000000004</v>
      </c>
      <c r="BF100">
        <v>9.5</v>
      </c>
      <c r="BI100">
        <v>0.22</v>
      </c>
    </row>
    <row r="101" spans="1:61" x14ac:dyDescent="0.2">
      <c r="A101" t="s">
        <v>403</v>
      </c>
      <c r="B101" t="s">
        <v>404</v>
      </c>
      <c r="C101" t="s">
        <v>405</v>
      </c>
      <c r="D101" t="s">
        <v>406</v>
      </c>
      <c r="E101" s="1" t="s">
        <v>168</v>
      </c>
      <c r="F101" s="1" t="s">
        <v>140</v>
      </c>
      <c r="G101" t="s">
        <v>408</v>
      </c>
      <c r="H101" t="s">
        <v>155</v>
      </c>
      <c r="M101">
        <v>2</v>
      </c>
      <c r="N101">
        <v>14</v>
      </c>
      <c r="S101">
        <v>16</v>
      </c>
      <c r="T101" t="s">
        <v>155</v>
      </c>
      <c r="Y101">
        <v>20</v>
      </c>
      <c r="Z101" t="s">
        <v>155</v>
      </c>
      <c r="AC101" t="s">
        <v>155</v>
      </c>
      <c r="AF101" t="s">
        <v>155</v>
      </c>
      <c r="AK101">
        <v>20</v>
      </c>
      <c r="AL101" t="s">
        <v>155</v>
      </c>
      <c r="AO101" t="s">
        <v>155</v>
      </c>
      <c r="AR101" t="s">
        <v>155</v>
      </c>
      <c r="AU101" t="s">
        <v>155</v>
      </c>
      <c r="AX101" t="s">
        <v>155</v>
      </c>
      <c r="BA101" t="s">
        <v>155</v>
      </c>
      <c r="BD101" t="s">
        <v>155</v>
      </c>
      <c r="BI101">
        <v>0.1</v>
      </c>
    </row>
    <row r="102" spans="1:61" x14ac:dyDescent="0.2">
      <c r="A102" s="10" t="s">
        <v>409</v>
      </c>
      <c r="B102" s="10" t="s">
        <v>410</v>
      </c>
      <c r="C102" s="10" t="s">
        <v>411</v>
      </c>
      <c r="D102" s="10" t="s">
        <v>280</v>
      </c>
      <c r="E102" s="11" t="s">
        <v>168</v>
      </c>
      <c r="F102" s="11" t="s">
        <v>141</v>
      </c>
      <c r="G102" s="10" t="s">
        <v>412</v>
      </c>
      <c r="H102">
        <v>8900</v>
      </c>
      <c r="M102">
        <v>2.2000000000000002</v>
      </c>
      <c r="P102">
        <v>20</v>
      </c>
      <c r="S102">
        <v>0.27</v>
      </c>
      <c r="V102">
        <v>210</v>
      </c>
      <c r="W102">
        <v>11</v>
      </c>
      <c r="AB102">
        <v>1.8</v>
      </c>
      <c r="AE102">
        <v>6</v>
      </c>
      <c r="AG102" s="16">
        <f>(18000*1.34)</f>
        <v>24120</v>
      </c>
      <c r="AJ102" s="16">
        <f>(5.4*1.44)</f>
        <v>7.7759999999999998</v>
      </c>
      <c r="AL102">
        <v>160</v>
      </c>
      <c r="AQ102">
        <v>0.21</v>
      </c>
      <c r="AT102">
        <v>4.9000000000000004</v>
      </c>
      <c r="AU102">
        <v>230</v>
      </c>
      <c r="AZ102">
        <v>210</v>
      </c>
      <c r="BA102">
        <v>17</v>
      </c>
      <c r="BD102">
        <v>40</v>
      </c>
      <c r="BI102">
        <v>0.1</v>
      </c>
    </row>
    <row r="103" spans="1:61" x14ac:dyDescent="0.2">
      <c r="A103" t="s">
        <v>413</v>
      </c>
      <c r="B103" t="s">
        <v>414</v>
      </c>
      <c r="C103" t="s">
        <v>415</v>
      </c>
      <c r="D103" t="s">
        <v>416</v>
      </c>
      <c r="F103" s="1" t="s">
        <v>153</v>
      </c>
      <c r="G103" t="s">
        <v>417</v>
      </c>
      <c r="H103" t="s">
        <v>155</v>
      </c>
      <c r="M103">
        <v>8.6</v>
      </c>
      <c r="N103">
        <v>9</v>
      </c>
      <c r="S103">
        <v>2.2000000000000002</v>
      </c>
      <c r="T103" t="s">
        <v>155</v>
      </c>
      <c r="W103">
        <v>4.3</v>
      </c>
      <c r="Z103" t="s">
        <v>155</v>
      </c>
      <c r="AC103" t="s">
        <v>155</v>
      </c>
      <c r="AF103" t="s">
        <v>155</v>
      </c>
      <c r="AI103">
        <v>26</v>
      </c>
      <c r="AL103" t="s">
        <v>155</v>
      </c>
      <c r="AO103" t="s">
        <v>155</v>
      </c>
      <c r="AR103" t="s">
        <v>155</v>
      </c>
      <c r="AU103" t="s">
        <v>155</v>
      </c>
      <c r="AX103" t="s">
        <v>155</v>
      </c>
      <c r="BA103" t="s">
        <v>155</v>
      </c>
      <c r="BD103" t="s">
        <v>155</v>
      </c>
      <c r="BI103">
        <v>0.1</v>
      </c>
    </row>
    <row r="104" spans="1:61" x14ac:dyDescent="0.2">
      <c r="A104" t="s">
        <v>418</v>
      </c>
      <c r="B104" t="s">
        <v>419</v>
      </c>
      <c r="C104" t="s">
        <v>420</v>
      </c>
      <c r="D104" t="s">
        <v>131</v>
      </c>
      <c r="E104" s="1" t="s">
        <v>8</v>
      </c>
      <c r="F104" s="1" t="s">
        <v>141</v>
      </c>
      <c r="G104" t="s">
        <v>421</v>
      </c>
      <c r="H104" t="s">
        <v>155</v>
      </c>
      <c r="K104">
        <v>2</v>
      </c>
      <c r="N104">
        <v>54</v>
      </c>
      <c r="S104">
        <v>16</v>
      </c>
      <c r="T104" t="s">
        <v>155</v>
      </c>
      <c r="W104">
        <v>40</v>
      </c>
      <c r="Z104" t="s">
        <v>155</v>
      </c>
      <c r="AC104" t="s">
        <v>155</v>
      </c>
      <c r="AF104" t="s">
        <v>155</v>
      </c>
      <c r="AI104">
        <v>22</v>
      </c>
      <c r="AL104" t="s">
        <v>155</v>
      </c>
      <c r="AO104" t="s">
        <v>155</v>
      </c>
      <c r="AR104" t="s">
        <v>155</v>
      </c>
      <c r="AU104" t="s">
        <v>155</v>
      </c>
      <c r="AX104" t="s">
        <v>155</v>
      </c>
      <c r="BA104" t="s">
        <v>155</v>
      </c>
      <c r="BD104" t="s">
        <v>155</v>
      </c>
      <c r="BI104">
        <v>0.11</v>
      </c>
    </row>
    <row r="105" spans="1:61" x14ac:dyDescent="0.2">
      <c r="A105" t="s">
        <v>422</v>
      </c>
      <c r="B105" t="s">
        <v>423</v>
      </c>
      <c r="C105" t="s">
        <v>424</v>
      </c>
      <c r="D105" t="s">
        <v>137</v>
      </c>
      <c r="E105" s="1" t="s">
        <v>8</v>
      </c>
      <c r="F105" s="1" t="s">
        <v>140</v>
      </c>
      <c r="G105">
        <v>4</v>
      </c>
      <c r="H105" t="s">
        <v>155</v>
      </c>
      <c r="K105">
        <v>0.5</v>
      </c>
      <c r="N105">
        <v>5</v>
      </c>
      <c r="S105">
        <v>2.2999999999999998</v>
      </c>
      <c r="T105" t="s">
        <v>155</v>
      </c>
      <c r="Y105">
        <v>2.2999999999999998</v>
      </c>
      <c r="Z105" t="s">
        <v>155</v>
      </c>
      <c r="AC105" t="s">
        <v>155</v>
      </c>
      <c r="AF105" t="s">
        <v>155</v>
      </c>
      <c r="AI105">
        <v>9.1999999999999993</v>
      </c>
      <c r="AL105" t="s">
        <v>155</v>
      </c>
      <c r="AO105" t="s">
        <v>155</v>
      </c>
      <c r="AR105" t="s">
        <v>155</v>
      </c>
      <c r="AU105" t="s">
        <v>155</v>
      </c>
      <c r="AX105" t="s">
        <v>155</v>
      </c>
      <c r="BA105" t="s">
        <v>155</v>
      </c>
      <c r="BD105" t="s">
        <v>155</v>
      </c>
      <c r="BI105">
        <v>0.1</v>
      </c>
    </row>
    <row r="106" spans="1:61" x14ac:dyDescent="0.2">
      <c r="A106" t="s">
        <v>422</v>
      </c>
      <c r="B106" t="s">
        <v>423</v>
      </c>
      <c r="C106" t="s">
        <v>424</v>
      </c>
      <c r="D106" t="s">
        <v>136</v>
      </c>
      <c r="E106" s="1" t="s">
        <v>8</v>
      </c>
      <c r="F106" s="1" t="s">
        <v>153</v>
      </c>
      <c r="G106" t="s">
        <v>425</v>
      </c>
      <c r="H106">
        <v>2000</v>
      </c>
      <c r="K106" t="s">
        <v>155</v>
      </c>
      <c r="N106">
        <v>77</v>
      </c>
      <c r="Q106" t="s">
        <v>155</v>
      </c>
      <c r="T106">
        <v>590</v>
      </c>
      <c r="W106">
        <v>3.3</v>
      </c>
      <c r="Z106" t="s">
        <v>155</v>
      </c>
      <c r="AC106">
        <v>4.7</v>
      </c>
      <c r="AF106">
        <v>3200</v>
      </c>
      <c r="AI106">
        <v>23</v>
      </c>
      <c r="AL106">
        <v>120</v>
      </c>
      <c r="AO106">
        <v>40</v>
      </c>
      <c r="AT106">
        <v>2</v>
      </c>
      <c r="AU106" t="s">
        <v>155</v>
      </c>
      <c r="AX106" t="s">
        <v>155</v>
      </c>
      <c r="BA106">
        <v>8.6</v>
      </c>
      <c r="BD106">
        <v>4.5</v>
      </c>
      <c r="BI106">
        <v>0.05</v>
      </c>
    </row>
    <row r="107" spans="1:61" x14ac:dyDescent="0.2">
      <c r="A107" t="s">
        <v>422</v>
      </c>
      <c r="B107" t="s">
        <v>423</v>
      </c>
      <c r="C107" t="s">
        <v>424</v>
      </c>
      <c r="D107" t="s">
        <v>136</v>
      </c>
      <c r="E107" s="1" t="s">
        <v>8</v>
      </c>
      <c r="F107" s="1" t="s">
        <v>153</v>
      </c>
      <c r="G107" t="s">
        <v>426</v>
      </c>
      <c r="H107" t="s">
        <v>155</v>
      </c>
      <c r="M107">
        <v>2</v>
      </c>
      <c r="N107">
        <v>43</v>
      </c>
      <c r="S107">
        <v>9.8000000000000007</v>
      </c>
      <c r="T107" t="s">
        <v>155</v>
      </c>
      <c r="Y107">
        <v>9.8000000000000007</v>
      </c>
      <c r="Z107" t="s">
        <v>155</v>
      </c>
      <c r="AC107">
        <v>16</v>
      </c>
      <c r="AF107" t="s">
        <v>155</v>
      </c>
      <c r="AK107">
        <v>20</v>
      </c>
      <c r="AL107" t="s">
        <v>155</v>
      </c>
      <c r="AO107" t="s">
        <v>155</v>
      </c>
      <c r="AR107" t="s">
        <v>155</v>
      </c>
      <c r="AT107">
        <v>9.8000000000000007</v>
      </c>
      <c r="AU107" t="s">
        <v>155</v>
      </c>
      <c r="AX107" t="s">
        <v>155</v>
      </c>
      <c r="BA107" t="s">
        <v>155</v>
      </c>
      <c r="BD107" t="s">
        <v>155</v>
      </c>
      <c r="BI107">
        <v>0.09</v>
      </c>
    </row>
    <row r="108" spans="1:61" x14ac:dyDescent="0.2">
      <c r="A108" t="s">
        <v>427</v>
      </c>
      <c r="B108" t="s">
        <v>428</v>
      </c>
      <c r="C108" t="s">
        <v>429</v>
      </c>
      <c r="D108" t="s">
        <v>372</v>
      </c>
      <c r="E108" s="1" t="s">
        <v>8</v>
      </c>
      <c r="F108" s="1" t="s">
        <v>153</v>
      </c>
      <c r="G108" t="s">
        <v>430</v>
      </c>
      <c r="H108" t="s">
        <v>155</v>
      </c>
      <c r="M108">
        <v>1.9</v>
      </c>
      <c r="N108">
        <v>20</v>
      </c>
      <c r="S108">
        <v>10</v>
      </c>
      <c r="T108" t="s">
        <v>155</v>
      </c>
      <c r="Y108">
        <v>10</v>
      </c>
      <c r="Z108" t="s">
        <v>155</v>
      </c>
      <c r="AC108" t="s">
        <v>155</v>
      </c>
      <c r="AF108" t="s">
        <v>155</v>
      </c>
      <c r="AK108">
        <v>20</v>
      </c>
      <c r="AL108" t="s">
        <v>155</v>
      </c>
      <c r="AO108" t="s">
        <v>155</v>
      </c>
      <c r="AR108" t="s">
        <v>155</v>
      </c>
      <c r="AU108" t="s">
        <v>155</v>
      </c>
      <c r="AX108" t="s">
        <v>155</v>
      </c>
      <c r="BA108" t="s">
        <v>155</v>
      </c>
      <c r="BD108">
        <v>16</v>
      </c>
      <c r="BI108">
        <v>0.09</v>
      </c>
    </row>
    <row r="109" spans="1:61" x14ac:dyDescent="0.2">
      <c r="A109" s="10" t="s">
        <v>431</v>
      </c>
      <c r="B109" s="10" t="s">
        <v>432</v>
      </c>
      <c r="C109" s="10" t="s">
        <v>433</v>
      </c>
      <c r="D109" s="10" t="s">
        <v>434</v>
      </c>
      <c r="E109" s="11" t="s">
        <v>168</v>
      </c>
      <c r="F109" s="11" t="s">
        <v>140</v>
      </c>
      <c r="G109" s="10" t="s">
        <v>435</v>
      </c>
      <c r="H109">
        <v>16000</v>
      </c>
      <c r="K109">
        <v>6.1</v>
      </c>
      <c r="N109">
        <v>100</v>
      </c>
      <c r="S109">
        <v>0.3</v>
      </c>
      <c r="V109">
        <v>80</v>
      </c>
      <c r="W109">
        <v>19</v>
      </c>
      <c r="AB109">
        <v>10</v>
      </c>
      <c r="AC109">
        <v>59</v>
      </c>
      <c r="AF109">
        <v>33000</v>
      </c>
      <c r="AI109">
        <v>11</v>
      </c>
      <c r="AL109">
        <v>2200</v>
      </c>
      <c r="AO109">
        <v>250</v>
      </c>
      <c r="AR109">
        <v>22</v>
      </c>
      <c r="AU109">
        <v>820</v>
      </c>
      <c r="AZ109">
        <v>70</v>
      </c>
      <c r="BA109">
        <v>27</v>
      </c>
      <c r="BD109">
        <v>63</v>
      </c>
      <c r="BI109">
        <v>0.06</v>
      </c>
    </row>
    <row r="110" spans="1:61" x14ac:dyDescent="0.2">
      <c r="A110" s="10" t="s">
        <v>431</v>
      </c>
      <c r="B110" s="10" t="s">
        <v>432</v>
      </c>
      <c r="C110" s="10" t="s">
        <v>433</v>
      </c>
      <c r="D110" s="10" t="s">
        <v>434</v>
      </c>
      <c r="E110" s="11" t="s">
        <v>168</v>
      </c>
      <c r="F110" s="11" t="s">
        <v>141</v>
      </c>
      <c r="G110" s="10" t="s">
        <v>436</v>
      </c>
      <c r="H110">
        <v>9500</v>
      </c>
      <c r="K110">
        <v>3.2</v>
      </c>
      <c r="N110">
        <v>92</v>
      </c>
      <c r="S110">
        <v>0.27</v>
      </c>
      <c r="V110">
        <v>110</v>
      </c>
      <c r="W110">
        <v>16</v>
      </c>
      <c r="AB110">
        <v>5</v>
      </c>
      <c r="AC110">
        <v>62</v>
      </c>
      <c r="AF110">
        <v>22000</v>
      </c>
      <c r="AI110">
        <v>11</v>
      </c>
      <c r="AL110">
        <v>1900</v>
      </c>
      <c r="AO110">
        <v>42</v>
      </c>
      <c r="AR110">
        <v>13</v>
      </c>
      <c r="AU110">
        <v>620</v>
      </c>
      <c r="AZ110">
        <v>260</v>
      </c>
      <c r="BA110">
        <v>31</v>
      </c>
      <c r="BF110">
        <v>50</v>
      </c>
      <c r="BI110">
        <v>0.05</v>
      </c>
    </row>
    <row r="111" spans="1:61" x14ac:dyDescent="0.2">
      <c r="A111" s="10" t="s">
        <v>431</v>
      </c>
      <c r="B111" s="10" t="s">
        <v>432</v>
      </c>
      <c r="C111" s="10" t="s">
        <v>433</v>
      </c>
      <c r="D111" s="10" t="s">
        <v>434</v>
      </c>
      <c r="E111" s="11" t="s">
        <v>168</v>
      </c>
      <c r="F111" s="11" t="s">
        <v>153</v>
      </c>
      <c r="G111" s="10" t="s">
        <v>437</v>
      </c>
      <c r="H111">
        <v>11000</v>
      </c>
      <c r="K111">
        <v>7.9</v>
      </c>
      <c r="N111">
        <v>60</v>
      </c>
      <c r="S111">
        <v>0.28999999999999998</v>
      </c>
      <c r="V111">
        <v>80</v>
      </c>
      <c r="W111">
        <v>21</v>
      </c>
      <c r="AB111">
        <v>9</v>
      </c>
      <c r="AC111">
        <v>32</v>
      </c>
      <c r="AF111">
        <v>26000</v>
      </c>
      <c r="AI111">
        <v>10</v>
      </c>
      <c r="AL111">
        <v>780</v>
      </c>
      <c r="AO111">
        <v>100</v>
      </c>
      <c r="AR111">
        <v>17</v>
      </c>
      <c r="AU111">
        <v>570</v>
      </c>
      <c r="AZ111">
        <v>90</v>
      </c>
      <c r="BA111">
        <v>30</v>
      </c>
      <c r="BF111">
        <v>40</v>
      </c>
      <c r="BI111">
        <v>0.06</v>
      </c>
    </row>
    <row r="112" spans="1:61" x14ac:dyDescent="0.2">
      <c r="A112" s="10" t="s">
        <v>431</v>
      </c>
      <c r="B112" s="10" t="s">
        <v>432</v>
      </c>
      <c r="C112" s="10" t="s">
        <v>433</v>
      </c>
      <c r="D112" s="10" t="s">
        <v>434</v>
      </c>
      <c r="E112" s="11" t="s">
        <v>168</v>
      </c>
      <c r="F112" s="11" t="s">
        <v>153</v>
      </c>
      <c r="G112" s="10" t="s">
        <v>438</v>
      </c>
      <c r="H112">
        <v>1900</v>
      </c>
      <c r="K112">
        <v>3.3</v>
      </c>
      <c r="N112">
        <v>14</v>
      </c>
      <c r="S112">
        <v>0.3</v>
      </c>
      <c r="T112">
        <v>250</v>
      </c>
      <c r="W112">
        <v>9.6999999999999993</v>
      </c>
      <c r="AB112">
        <v>4</v>
      </c>
      <c r="AE112">
        <v>3</v>
      </c>
      <c r="AF112">
        <v>13000</v>
      </c>
      <c r="AJ112" s="16">
        <f>(4.9*1.44)</f>
        <v>7.056</v>
      </c>
      <c r="AL112">
        <v>250</v>
      </c>
      <c r="AP112" s="16">
        <f>(160*1.24)</f>
        <v>198.4</v>
      </c>
      <c r="AT112">
        <v>3</v>
      </c>
      <c r="AV112" s="16">
        <f>(46*17.49)</f>
        <v>804.54</v>
      </c>
      <c r="AZ112">
        <v>20</v>
      </c>
      <c r="BA112">
        <v>19</v>
      </c>
      <c r="BD112">
        <v>20</v>
      </c>
      <c r="BI112">
        <v>0.06</v>
      </c>
    </row>
    <row r="113" spans="1:61" x14ac:dyDescent="0.2">
      <c r="A113" t="s">
        <v>431</v>
      </c>
      <c r="B113" t="s">
        <v>432</v>
      </c>
      <c r="C113" t="s">
        <v>433</v>
      </c>
      <c r="D113" t="s">
        <v>434</v>
      </c>
      <c r="E113" s="1" t="s">
        <v>168</v>
      </c>
      <c r="F113" s="1" t="s">
        <v>140</v>
      </c>
      <c r="G113" t="s">
        <v>439</v>
      </c>
      <c r="H113" t="s">
        <v>155</v>
      </c>
      <c r="K113">
        <v>5.4</v>
      </c>
      <c r="N113">
        <v>190</v>
      </c>
      <c r="S113">
        <v>0.5</v>
      </c>
      <c r="T113" t="s">
        <v>155</v>
      </c>
      <c r="W113">
        <v>30</v>
      </c>
      <c r="Z113" t="s">
        <v>155</v>
      </c>
      <c r="AC113">
        <v>48</v>
      </c>
      <c r="AF113" t="s">
        <v>155</v>
      </c>
      <c r="AI113">
        <v>13</v>
      </c>
      <c r="AL113" t="s">
        <v>155</v>
      </c>
      <c r="AO113" t="s">
        <v>155</v>
      </c>
      <c r="AR113" t="s">
        <v>155</v>
      </c>
      <c r="AU113" t="s">
        <v>155</v>
      </c>
      <c r="AX113" t="s">
        <v>155</v>
      </c>
      <c r="BA113" t="s">
        <v>155</v>
      </c>
      <c r="BD113" t="s">
        <v>155</v>
      </c>
      <c r="BG113">
        <v>1.7999999999999999E-2</v>
      </c>
      <c r="BI113" t="s">
        <v>174</v>
      </c>
    </row>
    <row r="114" spans="1:61" x14ac:dyDescent="0.2">
      <c r="A114" t="s">
        <v>431</v>
      </c>
      <c r="B114" t="s">
        <v>432</v>
      </c>
      <c r="C114" t="s">
        <v>433</v>
      </c>
      <c r="D114" t="s">
        <v>434</v>
      </c>
      <c r="E114" s="1" t="s">
        <v>168</v>
      </c>
      <c r="F114" s="1" t="s">
        <v>140</v>
      </c>
      <c r="G114" t="s">
        <v>440</v>
      </c>
      <c r="H114" t="s">
        <v>155</v>
      </c>
      <c r="K114">
        <v>5.2</v>
      </c>
      <c r="N114">
        <v>180</v>
      </c>
      <c r="S114">
        <v>0.5</v>
      </c>
      <c r="T114" t="s">
        <v>155</v>
      </c>
      <c r="W114">
        <v>19</v>
      </c>
      <c r="Z114" t="s">
        <v>155</v>
      </c>
      <c r="AC114">
        <v>48</v>
      </c>
      <c r="AF114" t="s">
        <v>155</v>
      </c>
      <c r="AI114">
        <v>11</v>
      </c>
      <c r="AL114" t="s">
        <v>155</v>
      </c>
      <c r="AO114" t="s">
        <v>155</v>
      </c>
      <c r="AR114" t="s">
        <v>155</v>
      </c>
      <c r="AU114" t="s">
        <v>155</v>
      </c>
      <c r="AX114" t="s">
        <v>155</v>
      </c>
      <c r="BA114" t="s">
        <v>155</v>
      </c>
      <c r="BD114" t="s">
        <v>155</v>
      </c>
      <c r="BG114">
        <v>1.2E-2</v>
      </c>
      <c r="BI114" t="s">
        <v>174</v>
      </c>
    </row>
    <row r="115" spans="1:61" x14ac:dyDescent="0.2">
      <c r="A115" t="s">
        <v>431</v>
      </c>
      <c r="B115" t="s">
        <v>432</v>
      </c>
      <c r="C115" t="s">
        <v>433</v>
      </c>
      <c r="D115" t="s">
        <v>434</v>
      </c>
      <c r="E115" s="1" t="s">
        <v>168</v>
      </c>
      <c r="F115" s="1" t="s">
        <v>140</v>
      </c>
      <c r="G115" t="s">
        <v>441</v>
      </c>
      <c r="H115" t="s">
        <v>155</v>
      </c>
      <c r="K115">
        <v>6.8</v>
      </c>
      <c r="N115">
        <v>120</v>
      </c>
      <c r="S115">
        <v>0.5</v>
      </c>
      <c r="T115" t="s">
        <v>155</v>
      </c>
      <c r="W115">
        <v>14</v>
      </c>
      <c r="Z115" t="s">
        <v>155</v>
      </c>
      <c r="AC115">
        <v>37</v>
      </c>
      <c r="AF115" t="s">
        <v>155</v>
      </c>
      <c r="AI115">
        <v>10</v>
      </c>
      <c r="AL115" t="s">
        <v>155</v>
      </c>
      <c r="AO115" t="s">
        <v>155</v>
      </c>
      <c r="AR115" t="s">
        <v>155</v>
      </c>
      <c r="AU115" t="s">
        <v>155</v>
      </c>
      <c r="AX115" t="s">
        <v>155</v>
      </c>
      <c r="BA115" t="s">
        <v>155</v>
      </c>
      <c r="BD115" t="s">
        <v>155</v>
      </c>
      <c r="BG115">
        <v>1.2999999999999999E-2</v>
      </c>
      <c r="BI115" t="s">
        <v>174</v>
      </c>
    </row>
    <row r="116" spans="1:61" x14ac:dyDescent="0.2">
      <c r="A116" t="s">
        <v>431</v>
      </c>
      <c r="B116" t="s">
        <v>432</v>
      </c>
      <c r="C116" t="s">
        <v>433</v>
      </c>
      <c r="D116" t="s">
        <v>434</v>
      </c>
      <c r="E116" s="1" t="s">
        <v>168</v>
      </c>
      <c r="F116" s="1" t="s">
        <v>140</v>
      </c>
      <c r="G116" t="s">
        <v>442</v>
      </c>
      <c r="H116" t="s">
        <v>155</v>
      </c>
      <c r="K116">
        <v>14</v>
      </c>
      <c r="N116">
        <v>220</v>
      </c>
      <c r="S116">
        <v>0.5</v>
      </c>
      <c r="T116" t="s">
        <v>155</v>
      </c>
      <c r="W116">
        <v>19</v>
      </c>
      <c r="Z116" t="s">
        <v>155</v>
      </c>
      <c r="AC116">
        <v>51</v>
      </c>
      <c r="AF116" t="s">
        <v>155</v>
      </c>
      <c r="AI116">
        <v>30</v>
      </c>
      <c r="AL116" t="s">
        <v>155</v>
      </c>
      <c r="AO116" t="s">
        <v>155</v>
      </c>
      <c r="AR116" t="s">
        <v>155</v>
      </c>
      <c r="AU116" t="s">
        <v>155</v>
      </c>
      <c r="AX116" t="s">
        <v>155</v>
      </c>
      <c r="BA116" t="s">
        <v>155</v>
      </c>
      <c r="BD116" t="s">
        <v>155</v>
      </c>
      <c r="BG116">
        <v>2.1000000000000001E-2</v>
      </c>
      <c r="BI116" t="s">
        <v>174</v>
      </c>
    </row>
    <row r="117" spans="1:61" x14ac:dyDescent="0.2">
      <c r="A117" t="s">
        <v>431</v>
      </c>
      <c r="B117" t="s">
        <v>432</v>
      </c>
      <c r="C117" t="s">
        <v>433</v>
      </c>
      <c r="D117" t="s">
        <v>434</v>
      </c>
      <c r="E117" s="1" t="s">
        <v>168</v>
      </c>
      <c r="F117" s="1" t="s">
        <v>140</v>
      </c>
      <c r="G117" t="s">
        <v>443</v>
      </c>
      <c r="H117" t="s">
        <v>155</v>
      </c>
      <c r="K117">
        <v>8.1999999999999993</v>
      </c>
      <c r="N117">
        <v>56</v>
      </c>
      <c r="S117">
        <v>0.5</v>
      </c>
      <c r="T117" t="s">
        <v>155</v>
      </c>
      <c r="W117">
        <v>15</v>
      </c>
      <c r="Z117" t="s">
        <v>155</v>
      </c>
      <c r="AC117">
        <v>13</v>
      </c>
      <c r="AF117" t="s">
        <v>155</v>
      </c>
      <c r="AI117">
        <v>10</v>
      </c>
      <c r="AL117" t="s">
        <v>155</v>
      </c>
      <c r="AO117" t="s">
        <v>155</v>
      </c>
      <c r="AR117" t="s">
        <v>155</v>
      </c>
      <c r="AU117" t="s">
        <v>155</v>
      </c>
      <c r="AX117" t="s">
        <v>155</v>
      </c>
      <c r="BA117" t="s">
        <v>155</v>
      </c>
      <c r="BD117" t="s">
        <v>155</v>
      </c>
      <c r="BG117">
        <v>0.02</v>
      </c>
      <c r="BI117" t="s">
        <v>174</v>
      </c>
    </row>
    <row r="118" spans="1:61" x14ac:dyDescent="0.2">
      <c r="A118" t="s">
        <v>431</v>
      </c>
      <c r="B118" t="s">
        <v>432</v>
      </c>
      <c r="C118" t="s">
        <v>433</v>
      </c>
      <c r="D118" t="s">
        <v>434</v>
      </c>
      <c r="E118" s="1" t="s">
        <v>168</v>
      </c>
      <c r="F118" s="1" t="s">
        <v>140</v>
      </c>
      <c r="G118" t="s">
        <v>444</v>
      </c>
      <c r="H118" t="s">
        <v>155</v>
      </c>
      <c r="K118">
        <v>5.2</v>
      </c>
      <c r="N118">
        <v>57</v>
      </c>
      <c r="S118">
        <v>0.5</v>
      </c>
      <c r="T118" t="s">
        <v>155</v>
      </c>
      <c r="W118">
        <v>14</v>
      </c>
      <c r="Z118" t="s">
        <v>155</v>
      </c>
      <c r="AC118">
        <v>16</v>
      </c>
      <c r="AF118" t="s">
        <v>155</v>
      </c>
      <c r="AI118">
        <v>8.4</v>
      </c>
      <c r="AL118" t="s">
        <v>155</v>
      </c>
      <c r="AO118" t="s">
        <v>155</v>
      </c>
      <c r="AR118" t="s">
        <v>155</v>
      </c>
      <c r="AU118" t="s">
        <v>155</v>
      </c>
      <c r="AX118" t="s">
        <v>155</v>
      </c>
      <c r="BA118" t="s">
        <v>155</v>
      </c>
      <c r="BD118" t="s">
        <v>155</v>
      </c>
      <c r="BG118">
        <v>2.5999999999999999E-2</v>
      </c>
      <c r="BI118" t="s">
        <v>174</v>
      </c>
    </row>
    <row r="119" spans="1:61" x14ac:dyDescent="0.2">
      <c r="A119" t="s">
        <v>445</v>
      </c>
      <c r="B119" t="s">
        <v>446</v>
      </c>
      <c r="C119" t="s">
        <v>332</v>
      </c>
      <c r="D119" t="s">
        <v>127</v>
      </c>
      <c r="E119" s="1" t="s">
        <v>168</v>
      </c>
      <c r="F119" s="1" t="s">
        <v>140</v>
      </c>
      <c r="G119" t="s">
        <v>447</v>
      </c>
      <c r="H119">
        <v>2800</v>
      </c>
      <c r="K119" t="s">
        <v>155</v>
      </c>
      <c r="N119">
        <v>10</v>
      </c>
      <c r="Q119" t="s">
        <v>155</v>
      </c>
      <c r="T119">
        <v>460</v>
      </c>
      <c r="W119">
        <v>5.4</v>
      </c>
      <c r="Z119" t="s">
        <v>155</v>
      </c>
      <c r="AC119">
        <v>2.2000000000000002</v>
      </c>
      <c r="AF119">
        <v>2100</v>
      </c>
      <c r="AI119">
        <v>12</v>
      </c>
      <c r="AL119">
        <v>120</v>
      </c>
      <c r="AO119">
        <v>16</v>
      </c>
      <c r="AR119" t="s">
        <v>155</v>
      </c>
      <c r="AX119" t="s">
        <v>155</v>
      </c>
      <c r="BA119">
        <v>6.4</v>
      </c>
      <c r="BD119">
        <v>13</v>
      </c>
      <c r="BG119" t="s">
        <v>155</v>
      </c>
      <c r="BI119" t="s">
        <v>174</v>
      </c>
    </row>
    <row r="120" spans="1:61" x14ac:dyDescent="0.2">
      <c r="A120" t="s">
        <v>445</v>
      </c>
      <c r="B120" t="s">
        <v>446</v>
      </c>
      <c r="C120" t="s">
        <v>332</v>
      </c>
      <c r="D120" t="s">
        <v>127</v>
      </c>
      <c r="E120" s="1" t="s">
        <v>168</v>
      </c>
      <c r="F120" s="1" t="s">
        <v>141</v>
      </c>
      <c r="G120" t="s">
        <v>448</v>
      </c>
      <c r="H120">
        <v>18000</v>
      </c>
      <c r="K120" t="s">
        <v>155</v>
      </c>
      <c r="N120">
        <v>15</v>
      </c>
      <c r="Q120" t="s">
        <v>155</v>
      </c>
      <c r="T120">
        <v>340</v>
      </c>
      <c r="W120">
        <v>26</v>
      </c>
      <c r="Z120" t="s">
        <v>155</v>
      </c>
      <c r="AC120" t="s">
        <v>155</v>
      </c>
      <c r="AF120">
        <v>22000</v>
      </c>
      <c r="AI120">
        <v>7.9</v>
      </c>
      <c r="AL120">
        <v>450</v>
      </c>
      <c r="AO120">
        <v>8.6999999999999993</v>
      </c>
      <c r="AR120" t="s">
        <v>155</v>
      </c>
      <c r="AU120">
        <v>420</v>
      </c>
      <c r="AX120" t="s">
        <v>155</v>
      </c>
      <c r="BA120">
        <v>43</v>
      </c>
      <c r="BD120">
        <v>5</v>
      </c>
      <c r="BG120" t="s">
        <v>155</v>
      </c>
    </row>
    <row r="121" spans="1:61" x14ac:dyDescent="0.2">
      <c r="A121" t="s">
        <v>445</v>
      </c>
      <c r="B121" t="s">
        <v>446</v>
      </c>
      <c r="C121" t="s">
        <v>332</v>
      </c>
      <c r="D121" t="s">
        <v>127</v>
      </c>
      <c r="E121" s="1" t="s">
        <v>168</v>
      </c>
      <c r="F121" s="1" t="s">
        <v>153</v>
      </c>
      <c r="G121" t="s">
        <v>449</v>
      </c>
      <c r="H121">
        <v>2700</v>
      </c>
      <c r="K121" t="s">
        <v>155</v>
      </c>
      <c r="N121">
        <v>6.2</v>
      </c>
      <c r="Q121" t="s">
        <v>155</v>
      </c>
      <c r="T121">
        <v>1200</v>
      </c>
      <c r="W121">
        <v>6.2</v>
      </c>
      <c r="AB121">
        <v>1</v>
      </c>
      <c r="AC121">
        <v>1.5</v>
      </c>
      <c r="AF121">
        <v>3400</v>
      </c>
      <c r="AI121">
        <v>15</v>
      </c>
      <c r="AL121">
        <v>130</v>
      </c>
      <c r="AO121">
        <v>17</v>
      </c>
      <c r="AT121">
        <v>2</v>
      </c>
      <c r="AX121" t="s">
        <v>155</v>
      </c>
      <c r="BA121">
        <v>7.8</v>
      </c>
      <c r="BD121">
        <v>11</v>
      </c>
      <c r="BG121" t="s">
        <v>155</v>
      </c>
    </row>
    <row r="122" spans="1:61" x14ac:dyDescent="0.2">
      <c r="A122" t="s">
        <v>450</v>
      </c>
      <c r="B122" t="s">
        <v>451</v>
      </c>
      <c r="C122" t="s">
        <v>452</v>
      </c>
      <c r="D122" t="s">
        <v>453</v>
      </c>
      <c r="E122" s="1" t="s">
        <v>168</v>
      </c>
      <c r="F122" s="1" t="s">
        <v>140</v>
      </c>
      <c r="G122">
        <v>3839</v>
      </c>
      <c r="H122" t="s">
        <v>155</v>
      </c>
      <c r="M122">
        <v>0.5</v>
      </c>
      <c r="S122">
        <v>2.5</v>
      </c>
      <c r="T122" t="s">
        <v>155</v>
      </c>
      <c r="W122">
        <v>2.5</v>
      </c>
      <c r="Z122" t="s">
        <v>155</v>
      </c>
      <c r="AC122" t="s">
        <v>155</v>
      </c>
      <c r="AF122" t="s">
        <v>155</v>
      </c>
      <c r="AI122">
        <v>9.9</v>
      </c>
      <c r="AL122" t="s">
        <v>155</v>
      </c>
      <c r="AO122" t="s">
        <v>155</v>
      </c>
      <c r="AR122" t="s">
        <v>155</v>
      </c>
      <c r="AU122" t="s">
        <v>155</v>
      </c>
      <c r="AX122" t="s">
        <v>155</v>
      </c>
      <c r="BA122" t="s">
        <v>155</v>
      </c>
      <c r="BD122" t="s">
        <v>155</v>
      </c>
      <c r="BI122">
        <v>0.1</v>
      </c>
    </row>
    <row r="123" spans="1:61" x14ac:dyDescent="0.2">
      <c r="A123" t="s">
        <v>450</v>
      </c>
      <c r="B123" t="s">
        <v>451</v>
      </c>
      <c r="C123" t="s">
        <v>452</v>
      </c>
      <c r="D123" t="s">
        <v>453</v>
      </c>
      <c r="E123" s="1" t="s">
        <v>168</v>
      </c>
      <c r="F123" s="1" t="s">
        <v>153</v>
      </c>
      <c r="G123">
        <v>3841</v>
      </c>
      <c r="H123" t="s">
        <v>155</v>
      </c>
      <c r="M123">
        <v>5</v>
      </c>
      <c r="S123">
        <v>2.4</v>
      </c>
      <c r="T123" t="s">
        <v>155</v>
      </c>
      <c r="W123">
        <v>2.9</v>
      </c>
      <c r="Z123" t="s">
        <v>155</v>
      </c>
      <c r="AC123" t="s">
        <v>155</v>
      </c>
      <c r="AF123" t="s">
        <v>155</v>
      </c>
      <c r="AI123">
        <v>4.8</v>
      </c>
      <c r="AL123" t="s">
        <v>155</v>
      </c>
      <c r="AO123" t="s">
        <v>155</v>
      </c>
      <c r="AR123" t="s">
        <v>155</v>
      </c>
      <c r="AU123" t="s">
        <v>155</v>
      </c>
      <c r="AX123" t="s">
        <v>155</v>
      </c>
      <c r="BA123" t="s">
        <v>155</v>
      </c>
      <c r="BD123" t="s">
        <v>155</v>
      </c>
      <c r="BI123">
        <v>0.1</v>
      </c>
    </row>
    <row r="124" spans="1:61" x14ac:dyDescent="0.2">
      <c r="A124" t="s">
        <v>454</v>
      </c>
      <c r="B124" t="s">
        <v>455</v>
      </c>
      <c r="C124" t="s">
        <v>456</v>
      </c>
      <c r="D124" t="s">
        <v>457</v>
      </c>
      <c r="E124" s="1" t="s">
        <v>168</v>
      </c>
      <c r="F124" s="1" t="s">
        <v>140</v>
      </c>
      <c r="G124">
        <v>2929</v>
      </c>
      <c r="H124" t="s">
        <v>155</v>
      </c>
      <c r="K124">
        <v>5</v>
      </c>
      <c r="N124">
        <v>15</v>
      </c>
      <c r="S124">
        <v>2.5</v>
      </c>
      <c r="T124" t="s">
        <v>155</v>
      </c>
      <c r="Y124">
        <v>2.5</v>
      </c>
      <c r="Z124" t="s">
        <v>155</v>
      </c>
      <c r="AC124" t="s">
        <v>155</v>
      </c>
      <c r="AF124" t="s">
        <v>155</v>
      </c>
      <c r="AI124">
        <v>10</v>
      </c>
      <c r="AL124" t="s">
        <v>155</v>
      </c>
      <c r="AO124" t="s">
        <v>155</v>
      </c>
      <c r="AR124" t="s">
        <v>155</v>
      </c>
      <c r="AU124" t="s">
        <v>155</v>
      </c>
      <c r="AX124" t="s">
        <v>155</v>
      </c>
      <c r="BA124" t="s">
        <v>155</v>
      </c>
      <c r="BD124" t="s">
        <v>155</v>
      </c>
      <c r="BI124">
        <v>0.1</v>
      </c>
    </row>
    <row r="125" spans="1:61" x14ac:dyDescent="0.2">
      <c r="A125" t="s">
        <v>454</v>
      </c>
      <c r="B125" t="s">
        <v>455</v>
      </c>
      <c r="C125" t="s">
        <v>456</v>
      </c>
      <c r="D125" t="s">
        <v>457</v>
      </c>
      <c r="E125" s="1" t="s">
        <v>168</v>
      </c>
      <c r="F125" s="1" t="s">
        <v>141</v>
      </c>
      <c r="G125">
        <v>2930</v>
      </c>
      <c r="H125" t="s">
        <v>155</v>
      </c>
      <c r="M125">
        <v>0.5</v>
      </c>
      <c r="P125">
        <v>5</v>
      </c>
      <c r="S125">
        <v>2.5</v>
      </c>
      <c r="T125" t="s">
        <v>155</v>
      </c>
      <c r="Y125">
        <v>2.5</v>
      </c>
      <c r="Z125" t="s">
        <v>155</v>
      </c>
      <c r="AC125" t="s">
        <v>155</v>
      </c>
      <c r="AF125" t="s">
        <v>155</v>
      </c>
      <c r="AK125">
        <v>5</v>
      </c>
      <c r="AL125" t="s">
        <v>155</v>
      </c>
      <c r="AO125" t="s">
        <v>155</v>
      </c>
      <c r="AR125" t="s">
        <v>155</v>
      </c>
      <c r="AU125" t="s">
        <v>155</v>
      </c>
      <c r="AX125" t="s">
        <v>155</v>
      </c>
      <c r="BA125" t="s">
        <v>155</v>
      </c>
      <c r="BD125" t="s">
        <v>155</v>
      </c>
      <c r="BI125">
        <v>0.1</v>
      </c>
    </row>
    <row r="126" spans="1:61" x14ac:dyDescent="0.2">
      <c r="A126" s="10" t="s">
        <v>458</v>
      </c>
      <c r="B126" s="10" t="s">
        <v>459</v>
      </c>
      <c r="C126" s="10" t="s">
        <v>460</v>
      </c>
      <c r="D126" s="10" t="s">
        <v>461</v>
      </c>
      <c r="E126" s="11" t="s">
        <v>8</v>
      </c>
      <c r="F126" s="11" t="s">
        <v>140</v>
      </c>
      <c r="G126" s="10" t="s">
        <v>462</v>
      </c>
      <c r="H126">
        <v>1400</v>
      </c>
      <c r="M126">
        <v>0.66</v>
      </c>
      <c r="N126">
        <v>7.7</v>
      </c>
      <c r="S126">
        <v>0.66</v>
      </c>
      <c r="V126">
        <v>30</v>
      </c>
      <c r="W126">
        <v>1.8</v>
      </c>
      <c r="AB126">
        <v>0.44</v>
      </c>
      <c r="AE126">
        <v>2</v>
      </c>
      <c r="AF126">
        <v>1500</v>
      </c>
      <c r="AI126">
        <v>6</v>
      </c>
      <c r="AN126">
        <v>40</v>
      </c>
      <c r="AP126" s="16">
        <f>(3.9*1.24)</f>
        <v>4.8360000000000003</v>
      </c>
      <c r="AT126">
        <v>2.2000000000000002</v>
      </c>
      <c r="AW126">
        <v>90</v>
      </c>
      <c r="AZ126">
        <v>20</v>
      </c>
      <c r="BA126">
        <v>4.4000000000000004</v>
      </c>
      <c r="BF126">
        <v>3</v>
      </c>
      <c r="BI126">
        <v>0.2</v>
      </c>
    </row>
    <row r="127" spans="1:61" x14ac:dyDescent="0.2">
      <c r="A127" s="10" t="s">
        <v>458</v>
      </c>
      <c r="B127" s="10" t="s">
        <v>459</v>
      </c>
      <c r="C127" s="10" t="s">
        <v>460</v>
      </c>
      <c r="D127" s="10" t="s">
        <v>461</v>
      </c>
      <c r="E127" s="11" t="s">
        <v>8</v>
      </c>
      <c r="F127" s="11" t="s">
        <v>141</v>
      </c>
      <c r="G127" s="10" t="s">
        <v>463</v>
      </c>
      <c r="H127">
        <v>4200</v>
      </c>
      <c r="M127">
        <v>2</v>
      </c>
      <c r="P127">
        <v>4</v>
      </c>
      <c r="S127">
        <v>0.76</v>
      </c>
      <c r="V127">
        <v>20</v>
      </c>
      <c r="W127">
        <v>5.5</v>
      </c>
      <c r="AB127">
        <v>1</v>
      </c>
      <c r="AE127">
        <v>4</v>
      </c>
      <c r="AF127">
        <v>4800</v>
      </c>
      <c r="AI127">
        <v>3.7</v>
      </c>
      <c r="AN127">
        <v>40</v>
      </c>
      <c r="AQ127">
        <v>1</v>
      </c>
      <c r="AT127">
        <v>2.5</v>
      </c>
      <c r="AW127">
        <v>100</v>
      </c>
      <c r="AZ127">
        <v>30</v>
      </c>
      <c r="BA127">
        <v>17</v>
      </c>
      <c r="BF127">
        <v>5</v>
      </c>
      <c r="BI127">
        <v>0.13</v>
      </c>
    </row>
    <row r="128" spans="1:61" x14ac:dyDescent="0.2">
      <c r="A128" s="10" t="s">
        <v>458</v>
      </c>
      <c r="B128" s="10" t="s">
        <v>459</v>
      </c>
      <c r="C128" s="10" t="s">
        <v>460</v>
      </c>
      <c r="D128" s="10" t="s">
        <v>461</v>
      </c>
      <c r="E128" s="11" t="s">
        <v>8</v>
      </c>
      <c r="F128" s="11" t="s">
        <v>153</v>
      </c>
      <c r="G128" s="10" t="s">
        <v>464</v>
      </c>
      <c r="H128">
        <v>10000</v>
      </c>
      <c r="M128">
        <v>1</v>
      </c>
      <c r="N128">
        <v>24</v>
      </c>
      <c r="S128">
        <v>1</v>
      </c>
      <c r="V128">
        <v>190</v>
      </c>
      <c r="W128">
        <v>6.9</v>
      </c>
      <c r="AB128">
        <v>0.7</v>
      </c>
      <c r="AE128">
        <v>5</v>
      </c>
      <c r="AF128">
        <v>2300</v>
      </c>
      <c r="AI128">
        <v>14</v>
      </c>
      <c r="AL128">
        <v>210</v>
      </c>
      <c r="AO128">
        <v>6.7</v>
      </c>
      <c r="AT128">
        <v>3.5</v>
      </c>
      <c r="AW128">
        <v>140</v>
      </c>
      <c r="AZ128">
        <v>50</v>
      </c>
      <c r="BA128">
        <v>14</v>
      </c>
      <c r="BF128">
        <v>10</v>
      </c>
      <c r="BI128">
        <v>0.17</v>
      </c>
    </row>
    <row r="129" spans="1:61" x14ac:dyDescent="0.2">
      <c r="A129" t="s">
        <v>465</v>
      </c>
      <c r="B129" t="s">
        <v>466</v>
      </c>
      <c r="C129" t="s">
        <v>466</v>
      </c>
      <c r="D129" t="s">
        <v>467</v>
      </c>
      <c r="E129" s="1" t="s">
        <v>168</v>
      </c>
      <c r="F129" s="1" t="s">
        <v>153</v>
      </c>
      <c r="G129">
        <v>15911</v>
      </c>
      <c r="H129" t="s">
        <v>155</v>
      </c>
      <c r="M129">
        <v>2</v>
      </c>
      <c r="N129" t="s">
        <v>155</v>
      </c>
      <c r="S129">
        <v>16</v>
      </c>
      <c r="T129" t="s">
        <v>155</v>
      </c>
      <c r="Y129">
        <v>20</v>
      </c>
      <c r="Z129" t="s">
        <v>155</v>
      </c>
      <c r="AC129">
        <v>12</v>
      </c>
      <c r="AF129" t="s">
        <v>155</v>
      </c>
      <c r="AK129">
        <v>20</v>
      </c>
      <c r="AL129" t="s">
        <v>155</v>
      </c>
      <c r="AO129" t="s">
        <v>155</v>
      </c>
      <c r="AR129" t="s">
        <v>155</v>
      </c>
      <c r="AU129" t="s">
        <v>155</v>
      </c>
      <c r="AX129" t="s">
        <v>155</v>
      </c>
      <c r="BA129" t="s">
        <v>155</v>
      </c>
      <c r="BD129">
        <v>27</v>
      </c>
      <c r="BI129">
        <v>0.1</v>
      </c>
    </row>
    <row r="130" spans="1:61" x14ac:dyDescent="0.2">
      <c r="A130" t="s">
        <v>468</v>
      </c>
      <c r="B130" t="s">
        <v>469</v>
      </c>
      <c r="C130" t="s">
        <v>470</v>
      </c>
      <c r="D130" t="s">
        <v>216</v>
      </c>
      <c r="E130" s="1" t="s">
        <v>168</v>
      </c>
      <c r="F130" s="1" t="s">
        <v>140</v>
      </c>
      <c r="G130">
        <v>3607</v>
      </c>
      <c r="H130" t="s">
        <v>155</v>
      </c>
      <c r="K130">
        <v>3</v>
      </c>
      <c r="N130">
        <v>92</v>
      </c>
      <c r="Q130">
        <v>12</v>
      </c>
      <c r="W130">
        <v>22</v>
      </c>
      <c r="Z130" t="s">
        <v>155</v>
      </c>
      <c r="AC130" t="s">
        <v>155</v>
      </c>
      <c r="AF130" t="s">
        <v>155</v>
      </c>
      <c r="AI130">
        <v>93</v>
      </c>
      <c r="AL130" t="s">
        <v>155</v>
      </c>
      <c r="AO130" t="s">
        <v>155</v>
      </c>
      <c r="AR130" t="s">
        <v>155</v>
      </c>
      <c r="AU130" t="s">
        <v>155</v>
      </c>
      <c r="AX130" t="s">
        <v>155</v>
      </c>
      <c r="BA130" t="s">
        <v>155</v>
      </c>
      <c r="BD130" t="s">
        <v>155</v>
      </c>
      <c r="BG130">
        <v>0.1</v>
      </c>
    </row>
    <row r="131" spans="1:61" x14ac:dyDescent="0.2">
      <c r="A131" t="s">
        <v>471</v>
      </c>
      <c r="B131" t="s">
        <v>472</v>
      </c>
      <c r="C131" t="s">
        <v>473</v>
      </c>
      <c r="D131" t="s">
        <v>474</v>
      </c>
      <c r="E131" s="1" t="s">
        <v>8</v>
      </c>
      <c r="F131" s="1" t="s">
        <v>141</v>
      </c>
      <c r="G131" t="s">
        <v>475</v>
      </c>
      <c r="H131" t="s">
        <v>155</v>
      </c>
      <c r="K131">
        <v>2</v>
      </c>
      <c r="N131">
        <v>55</v>
      </c>
      <c r="S131">
        <v>15</v>
      </c>
      <c r="T131" t="s">
        <v>155</v>
      </c>
      <c r="Y131">
        <v>19</v>
      </c>
      <c r="Z131" t="s">
        <v>155</v>
      </c>
      <c r="AC131" t="s">
        <v>155</v>
      </c>
      <c r="AF131" t="s">
        <v>155</v>
      </c>
      <c r="AI131">
        <v>2</v>
      </c>
      <c r="AL131" t="s">
        <v>155</v>
      </c>
      <c r="AO131" t="s">
        <v>155</v>
      </c>
      <c r="AR131" t="s">
        <v>155</v>
      </c>
      <c r="AU131" t="s">
        <v>155</v>
      </c>
      <c r="AX131" t="s">
        <v>155</v>
      </c>
      <c r="BA131" t="s">
        <v>155</v>
      </c>
      <c r="BD131" t="s">
        <v>155</v>
      </c>
      <c r="BG131">
        <v>0.12</v>
      </c>
    </row>
    <row r="132" spans="1:61" x14ac:dyDescent="0.2">
      <c r="A132" t="s">
        <v>476</v>
      </c>
      <c r="B132" t="s">
        <v>477</v>
      </c>
      <c r="C132" t="s">
        <v>478</v>
      </c>
      <c r="D132" t="s">
        <v>479</v>
      </c>
      <c r="E132" s="1" t="s">
        <v>8</v>
      </c>
      <c r="F132" s="1" t="s">
        <v>140</v>
      </c>
      <c r="G132">
        <v>3951</v>
      </c>
      <c r="H132" t="s">
        <v>155</v>
      </c>
      <c r="K132">
        <v>2.4</v>
      </c>
      <c r="N132">
        <v>53</v>
      </c>
      <c r="S132">
        <v>2.4</v>
      </c>
      <c r="T132" t="s">
        <v>155</v>
      </c>
      <c r="W132">
        <v>34</v>
      </c>
      <c r="Z132" t="s">
        <v>155</v>
      </c>
      <c r="AC132" t="s">
        <v>155</v>
      </c>
      <c r="AF132" t="s">
        <v>155</v>
      </c>
      <c r="AI132">
        <v>97</v>
      </c>
      <c r="AL132" t="s">
        <v>155</v>
      </c>
      <c r="AO132" t="s">
        <v>155</v>
      </c>
      <c r="AR132" t="s">
        <v>155</v>
      </c>
      <c r="AU132" t="s">
        <v>155</v>
      </c>
      <c r="AX132" t="s">
        <v>155</v>
      </c>
      <c r="BA132" t="s">
        <v>155</v>
      </c>
      <c r="BD132" t="s">
        <v>155</v>
      </c>
      <c r="BG132">
        <v>0.1</v>
      </c>
    </row>
    <row r="133" spans="1:61" x14ac:dyDescent="0.2">
      <c r="A133" t="s">
        <v>480</v>
      </c>
      <c r="B133" t="s">
        <v>481</v>
      </c>
      <c r="C133" t="s">
        <v>482</v>
      </c>
      <c r="D133" t="s">
        <v>159</v>
      </c>
      <c r="E133" s="1" t="s">
        <v>8</v>
      </c>
      <c r="F133" s="1" t="s">
        <v>140</v>
      </c>
      <c r="G133">
        <v>15656</v>
      </c>
      <c r="H133" t="s">
        <v>155</v>
      </c>
      <c r="M133">
        <v>2</v>
      </c>
      <c r="N133">
        <v>30</v>
      </c>
      <c r="S133">
        <v>15</v>
      </c>
      <c r="T133" t="s">
        <v>155</v>
      </c>
      <c r="Y133">
        <v>38</v>
      </c>
      <c r="Z133" t="s">
        <v>155</v>
      </c>
      <c r="AE133">
        <v>10</v>
      </c>
      <c r="AF133" t="s">
        <v>155</v>
      </c>
      <c r="AK133">
        <v>19</v>
      </c>
      <c r="AL133" t="s">
        <v>155</v>
      </c>
      <c r="AO133" t="s">
        <v>155</v>
      </c>
      <c r="AR133" t="s">
        <v>155</v>
      </c>
      <c r="AU133" t="s">
        <v>155</v>
      </c>
      <c r="AX133" t="s">
        <v>155</v>
      </c>
      <c r="BA133" t="s">
        <v>155</v>
      </c>
      <c r="BD133" t="s">
        <v>155</v>
      </c>
      <c r="BI133">
        <v>0.09</v>
      </c>
    </row>
    <row r="134" spans="1:61" x14ac:dyDescent="0.2">
      <c r="A134" s="10" t="s">
        <v>483</v>
      </c>
      <c r="B134" s="10" t="s">
        <v>484</v>
      </c>
      <c r="C134" s="10" t="s">
        <v>337</v>
      </c>
      <c r="D134" s="10" t="s">
        <v>338</v>
      </c>
      <c r="E134" s="11" t="s">
        <v>8</v>
      </c>
      <c r="F134" s="11" t="s">
        <v>140</v>
      </c>
      <c r="G134" s="10" t="s">
        <v>485</v>
      </c>
      <c r="I134" s="16">
        <f>(9200*1.66)</f>
        <v>15272</v>
      </c>
      <c r="M134">
        <v>2</v>
      </c>
      <c r="O134" s="16">
        <f>(33*3.99)</f>
        <v>131.67000000000002</v>
      </c>
      <c r="R134" s="16">
        <f>(2.9*1.41)</f>
        <v>4.0889999999999995</v>
      </c>
      <c r="V134">
        <v>90</v>
      </c>
      <c r="Y134">
        <v>1.3</v>
      </c>
      <c r="AB134">
        <v>2.7</v>
      </c>
      <c r="AC134">
        <v>6.7</v>
      </c>
      <c r="AG134" s="16">
        <f>(28000*1.34)</f>
        <v>37520</v>
      </c>
      <c r="AJ134" s="16">
        <f>(8.1*1.44)</f>
        <v>11.664</v>
      </c>
      <c r="AL134">
        <v>710</v>
      </c>
      <c r="AQ134">
        <v>20</v>
      </c>
      <c r="AR134">
        <v>5.4</v>
      </c>
      <c r="AW134">
        <v>360</v>
      </c>
      <c r="AZ134">
        <v>150</v>
      </c>
      <c r="BA134">
        <v>31</v>
      </c>
      <c r="BD134">
        <v>9.1</v>
      </c>
      <c r="BI134">
        <v>0.27</v>
      </c>
    </row>
    <row r="135" spans="1:61" x14ac:dyDescent="0.2">
      <c r="A135" t="s">
        <v>486</v>
      </c>
      <c r="B135" t="s">
        <v>487</v>
      </c>
      <c r="C135" t="s">
        <v>482</v>
      </c>
      <c r="D135" t="s">
        <v>159</v>
      </c>
      <c r="E135" s="1" t="s">
        <v>8</v>
      </c>
      <c r="F135" s="1" t="s">
        <v>140</v>
      </c>
      <c r="G135">
        <v>15661</v>
      </c>
      <c r="H135" t="s">
        <v>155</v>
      </c>
      <c r="M135">
        <v>2</v>
      </c>
      <c r="N135">
        <v>49</v>
      </c>
      <c r="S135">
        <v>15</v>
      </c>
      <c r="T135" t="s">
        <v>155</v>
      </c>
      <c r="W135">
        <v>41</v>
      </c>
      <c r="Z135" t="s">
        <v>155</v>
      </c>
      <c r="AC135" t="s">
        <v>155</v>
      </c>
      <c r="AF135" t="s">
        <v>155</v>
      </c>
      <c r="AI135">
        <v>30</v>
      </c>
      <c r="AL135" t="s">
        <v>155</v>
      </c>
      <c r="AO135" t="s">
        <v>155</v>
      </c>
      <c r="AR135" t="s">
        <v>155</v>
      </c>
      <c r="AU135" t="s">
        <v>155</v>
      </c>
      <c r="AX135" t="s">
        <v>155</v>
      </c>
      <c r="BA135" t="s">
        <v>155</v>
      </c>
      <c r="BD135" t="s">
        <v>155</v>
      </c>
      <c r="BI135">
        <v>0.1</v>
      </c>
    </row>
    <row r="136" spans="1:61" x14ac:dyDescent="0.2">
      <c r="A136" t="s">
        <v>488</v>
      </c>
      <c r="B136" t="s">
        <v>489</v>
      </c>
      <c r="C136" t="s">
        <v>490</v>
      </c>
      <c r="D136" t="s">
        <v>491</v>
      </c>
      <c r="E136" s="1" t="s">
        <v>168</v>
      </c>
      <c r="F136" s="1" t="s">
        <v>141</v>
      </c>
      <c r="G136">
        <v>15541</v>
      </c>
      <c r="H136" t="s">
        <v>155</v>
      </c>
      <c r="M136">
        <v>2</v>
      </c>
      <c r="P136">
        <v>7</v>
      </c>
      <c r="S136">
        <v>14</v>
      </c>
      <c r="T136" t="s">
        <v>155</v>
      </c>
      <c r="Y136">
        <v>36</v>
      </c>
      <c r="Z136" t="s">
        <v>155</v>
      </c>
      <c r="AC136" t="s">
        <v>155</v>
      </c>
      <c r="AF136" t="s">
        <v>155</v>
      </c>
      <c r="AJ136">
        <v>18</v>
      </c>
      <c r="AL136" t="s">
        <v>155</v>
      </c>
      <c r="AO136" t="s">
        <v>155</v>
      </c>
      <c r="AR136" t="s">
        <v>155</v>
      </c>
      <c r="AU136" t="s">
        <v>155</v>
      </c>
      <c r="AX136" t="s">
        <v>155</v>
      </c>
      <c r="BA136" t="s">
        <v>155</v>
      </c>
      <c r="BF136">
        <v>9</v>
      </c>
      <c r="BI136">
        <v>0.1</v>
      </c>
    </row>
    <row r="137" spans="1:61" x14ac:dyDescent="0.2">
      <c r="A137" s="10" t="s">
        <v>492</v>
      </c>
      <c r="B137" s="10" t="s">
        <v>493</v>
      </c>
      <c r="C137" s="10" t="s">
        <v>494</v>
      </c>
      <c r="D137" s="10" t="s">
        <v>495</v>
      </c>
      <c r="E137" s="11" t="s">
        <v>168</v>
      </c>
      <c r="F137" s="11" t="s">
        <v>140</v>
      </c>
      <c r="G137" s="10" t="s">
        <v>496</v>
      </c>
      <c r="H137">
        <v>19000</v>
      </c>
      <c r="L137" s="16">
        <f>(2.2*1.74)</f>
        <v>3.8280000000000003</v>
      </c>
      <c r="N137">
        <v>49</v>
      </c>
      <c r="S137">
        <v>0.45</v>
      </c>
      <c r="T137">
        <v>730</v>
      </c>
      <c r="X137" s="16">
        <f>(18*1.29)</f>
        <v>23.22</v>
      </c>
      <c r="AB137">
        <v>5</v>
      </c>
      <c r="AE137">
        <v>20</v>
      </c>
      <c r="AF137">
        <v>23000</v>
      </c>
      <c r="AJ137" s="16">
        <f>(21*1.44)</f>
        <v>30.24</v>
      </c>
      <c r="AM137" s="16">
        <f>(700*1.23)</f>
        <v>861</v>
      </c>
      <c r="AO137">
        <v>110</v>
      </c>
      <c r="AT137">
        <v>5</v>
      </c>
      <c r="AU137">
        <v>580</v>
      </c>
      <c r="AZ137">
        <v>40</v>
      </c>
      <c r="BB137" s="16">
        <f>(35*1.34)</f>
        <v>46.900000000000006</v>
      </c>
      <c r="BF137">
        <v>40</v>
      </c>
      <c r="BI137">
        <v>0.11</v>
      </c>
    </row>
    <row r="138" spans="1:61" x14ac:dyDescent="0.2">
      <c r="A138" s="10" t="s">
        <v>492</v>
      </c>
      <c r="B138" s="10" t="s">
        <v>493</v>
      </c>
      <c r="C138" s="10" t="s">
        <v>494</v>
      </c>
      <c r="D138" s="10" t="s">
        <v>495</v>
      </c>
      <c r="E138" s="11" t="s">
        <v>168</v>
      </c>
      <c r="F138" s="11" t="s">
        <v>141</v>
      </c>
      <c r="G138" s="10" t="s">
        <v>497</v>
      </c>
      <c r="H138">
        <v>26000</v>
      </c>
      <c r="M138">
        <v>2</v>
      </c>
      <c r="N138">
        <v>44</v>
      </c>
      <c r="S138">
        <v>0.52</v>
      </c>
      <c r="V138">
        <v>140</v>
      </c>
      <c r="X138" s="16">
        <f>(33*1.29)</f>
        <v>42.57</v>
      </c>
      <c r="AB138">
        <v>20</v>
      </c>
      <c r="AE138">
        <v>20</v>
      </c>
      <c r="AF138">
        <v>60000</v>
      </c>
      <c r="AJ138" s="16">
        <f>(9.4*1.44)</f>
        <v>13.536</v>
      </c>
      <c r="AM138" s="16">
        <f>(1100*1.23)</f>
        <v>1353</v>
      </c>
      <c r="AO138">
        <v>83</v>
      </c>
      <c r="AT138">
        <v>6</v>
      </c>
      <c r="AU138">
        <v>690</v>
      </c>
      <c r="AZ138">
        <v>30</v>
      </c>
      <c r="BB138" s="16">
        <f>(18*1.34)</f>
        <v>24.12</v>
      </c>
      <c r="BF138">
        <v>50</v>
      </c>
      <c r="BI138">
        <v>0.12</v>
      </c>
    </row>
    <row r="139" spans="1:61" x14ac:dyDescent="0.2">
      <c r="A139" s="10" t="s">
        <v>492</v>
      </c>
      <c r="B139" s="10" t="s">
        <v>493</v>
      </c>
      <c r="C139" s="10" t="s">
        <v>494</v>
      </c>
      <c r="D139" s="10" t="s">
        <v>495</v>
      </c>
      <c r="E139" s="11" t="s">
        <v>168</v>
      </c>
      <c r="F139" s="11" t="s">
        <v>153</v>
      </c>
      <c r="G139" s="10" t="s">
        <v>498</v>
      </c>
      <c r="H139">
        <v>2500</v>
      </c>
      <c r="M139">
        <v>1</v>
      </c>
      <c r="N139">
        <v>26</v>
      </c>
      <c r="S139">
        <v>0.23</v>
      </c>
      <c r="T139">
        <v>260</v>
      </c>
      <c r="W139">
        <v>5.6</v>
      </c>
      <c r="Z139">
        <v>1.9</v>
      </c>
      <c r="AE139">
        <v>2</v>
      </c>
      <c r="AG139" s="16">
        <f>(4100*1.34)</f>
        <v>5494</v>
      </c>
      <c r="AI139">
        <v>2.4</v>
      </c>
      <c r="AL139">
        <v>520</v>
      </c>
      <c r="AO139">
        <v>150</v>
      </c>
      <c r="AT139">
        <v>2</v>
      </c>
      <c r="AW139">
        <v>360</v>
      </c>
      <c r="AZ139">
        <v>210</v>
      </c>
      <c r="BA139">
        <v>5.6</v>
      </c>
      <c r="BF139">
        <v>10</v>
      </c>
      <c r="BI139">
        <v>0.1</v>
      </c>
    </row>
    <row r="140" spans="1:61" x14ac:dyDescent="0.2">
      <c r="A140" t="s">
        <v>499</v>
      </c>
      <c r="B140" t="s">
        <v>500</v>
      </c>
      <c r="C140" t="s">
        <v>291</v>
      </c>
      <c r="D140" t="s">
        <v>292</v>
      </c>
      <c r="E140" s="1" t="s">
        <v>8</v>
      </c>
      <c r="F140" s="1" t="s">
        <v>140</v>
      </c>
      <c r="G140">
        <v>3660</v>
      </c>
      <c r="H140" t="s">
        <v>155</v>
      </c>
      <c r="M140">
        <v>0.5</v>
      </c>
      <c r="N140">
        <v>2</v>
      </c>
      <c r="S140">
        <v>4</v>
      </c>
      <c r="T140" t="s">
        <v>155</v>
      </c>
      <c r="Y140">
        <v>10</v>
      </c>
      <c r="Z140" t="s">
        <v>155</v>
      </c>
      <c r="AC140" t="s">
        <v>155</v>
      </c>
      <c r="AE140" t="s">
        <v>155</v>
      </c>
      <c r="AK140">
        <v>2.2999999999999998</v>
      </c>
      <c r="AN140">
        <v>0.1</v>
      </c>
      <c r="AO140" t="s">
        <v>155</v>
      </c>
      <c r="AR140" t="s">
        <v>155</v>
      </c>
      <c r="AU140" t="s">
        <v>155</v>
      </c>
      <c r="AX140" t="s">
        <v>155</v>
      </c>
      <c r="BA140" t="s">
        <v>155</v>
      </c>
      <c r="BD140" t="s">
        <v>155</v>
      </c>
      <c r="BI140">
        <v>0.1</v>
      </c>
    </row>
    <row r="141" spans="1:61" x14ac:dyDescent="0.2">
      <c r="A141" t="s">
        <v>501</v>
      </c>
      <c r="B141" t="s">
        <v>502</v>
      </c>
      <c r="C141" t="s">
        <v>503</v>
      </c>
      <c r="D141" t="s">
        <v>504</v>
      </c>
      <c r="E141" s="1" t="s">
        <v>168</v>
      </c>
      <c r="F141" s="1" t="s">
        <v>140</v>
      </c>
      <c r="G141" t="s">
        <v>505</v>
      </c>
      <c r="H141" t="s">
        <v>155</v>
      </c>
      <c r="M141">
        <v>7.8</v>
      </c>
      <c r="N141">
        <v>120</v>
      </c>
      <c r="S141">
        <v>16</v>
      </c>
      <c r="T141" t="s">
        <v>155</v>
      </c>
      <c r="W141">
        <v>29</v>
      </c>
      <c r="Z141" t="s">
        <v>155</v>
      </c>
      <c r="AC141" t="s">
        <v>155</v>
      </c>
      <c r="AF141" t="s">
        <v>155</v>
      </c>
      <c r="AK141">
        <v>20</v>
      </c>
      <c r="AL141" t="s">
        <v>155</v>
      </c>
      <c r="AO141" t="s">
        <v>155</v>
      </c>
      <c r="AR141" t="s">
        <v>155</v>
      </c>
      <c r="AU141" t="s">
        <v>155</v>
      </c>
      <c r="AX141" t="s">
        <v>155</v>
      </c>
      <c r="BA141">
        <v>41</v>
      </c>
      <c r="BD141" t="s">
        <v>155</v>
      </c>
      <c r="BI141">
        <v>0.09</v>
      </c>
    </row>
    <row r="142" spans="1:61" x14ac:dyDescent="0.2">
      <c r="A142" t="s">
        <v>506</v>
      </c>
      <c r="B142" t="s">
        <v>507</v>
      </c>
      <c r="C142" t="s">
        <v>508</v>
      </c>
      <c r="D142" t="s">
        <v>275</v>
      </c>
      <c r="E142" s="1" t="s">
        <v>168</v>
      </c>
      <c r="F142" s="1" t="s">
        <v>140</v>
      </c>
      <c r="G142" t="s">
        <v>509</v>
      </c>
      <c r="H142" t="s">
        <v>155</v>
      </c>
      <c r="M142">
        <v>1</v>
      </c>
      <c r="N142">
        <v>91</v>
      </c>
      <c r="Q142">
        <v>12</v>
      </c>
      <c r="T142" t="s">
        <v>155</v>
      </c>
      <c r="W142">
        <v>32</v>
      </c>
      <c r="Z142" t="s">
        <v>155</v>
      </c>
      <c r="AC142" t="s">
        <v>155</v>
      </c>
      <c r="AF142" t="s">
        <v>155</v>
      </c>
      <c r="AI142">
        <v>12</v>
      </c>
      <c r="AL142" t="s">
        <v>155</v>
      </c>
      <c r="AO142" t="s">
        <v>155</v>
      </c>
      <c r="AR142" t="s">
        <v>155</v>
      </c>
      <c r="AU142" t="s">
        <v>155</v>
      </c>
      <c r="AX142" t="s">
        <v>155</v>
      </c>
      <c r="BA142" t="s">
        <v>155</v>
      </c>
      <c r="BD142" t="s">
        <v>155</v>
      </c>
      <c r="BI142">
        <v>0.1</v>
      </c>
    </row>
    <row r="143" spans="1:61" x14ac:dyDescent="0.2">
      <c r="A143" t="s">
        <v>510</v>
      </c>
      <c r="B143" t="s">
        <v>511</v>
      </c>
      <c r="C143" t="s">
        <v>512</v>
      </c>
      <c r="D143" t="s">
        <v>513</v>
      </c>
      <c r="E143" s="1" t="s">
        <v>168</v>
      </c>
      <c r="F143" s="1" t="s">
        <v>140</v>
      </c>
      <c r="G143" t="s">
        <v>496</v>
      </c>
      <c r="I143" s="16">
        <f>(1200*1.66)</f>
        <v>1992</v>
      </c>
      <c r="K143" t="s">
        <v>155</v>
      </c>
      <c r="N143">
        <v>20</v>
      </c>
      <c r="Q143" t="s">
        <v>155</v>
      </c>
      <c r="T143" t="s">
        <v>155</v>
      </c>
      <c r="Y143">
        <v>2</v>
      </c>
      <c r="Z143" t="s">
        <v>155</v>
      </c>
      <c r="AC143">
        <v>2</v>
      </c>
      <c r="AG143" s="16">
        <f>(830*1.34)</f>
        <v>1112.2</v>
      </c>
      <c r="AI143">
        <v>7.7</v>
      </c>
      <c r="AN143">
        <v>40</v>
      </c>
      <c r="AO143">
        <v>9.6</v>
      </c>
      <c r="AT143">
        <v>0.83</v>
      </c>
      <c r="AU143">
        <v>31</v>
      </c>
      <c r="AX143" t="s">
        <v>155</v>
      </c>
      <c r="BC143">
        <v>3</v>
      </c>
      <c r="BD143">
        <v>2.2999999999999998</v>
      </c>
      <c r="BG143" t="s">
        <v>155</v>
      </c>
    </row>
    <row r="144" spans="1:61" x14ac:dyDescent="0.2">
      <c r="A144" t="s">
        <v>510</v>
      </c>
      <c r="B144" t="s">
        <v>511</v>
      </c>
      <c r="C144" t="s">
        <v>512</v>
      </c>
      <c r="D144" t="s">
        <v>513</v>
      </c>
      <c r="E144" s="1" t="s">
        <v>168</v>
      </c>
      <c r="F144" s="1" t="s">
        <v>141</v>
      </c>
      <c r="G144" t="s">
        <v>514</v>
      </c>
      <c r="I144" s="16">
        <f>(790*1.66)</f>
        <v>1311.3999999999999</v>
      </c>
      <c r="M144">
        <v>1</v>
      </c>
      <c r="N144" t="s">
        <v>155</v>
      </c>
      <c r="Q144" t="s">
        <v>155</v>
      </c>
      <c r="T144" t="s">
        <v>155</v>
      </c>
      <c r="W144">
        <v>1.9</v>
      </c>
      <c r="Z144" t="s">
        <v>155</v>
      </c>
      <c r="AC144">
        <v>1.8</v>
      </c>
      <c r="AG144" s="16">
        <f>(680*1.34)</f>
        <v>911.2</v>
      </c>
      <c r="AI144">
        <v>1.7</v>
      </c>
      <c r="AN144">
        <v>10</v>
      </c>
      <c r="AQ144">
        <v>1</v>
      </c>
      <c r="AR144" t="s">
        <v>155</v>
      </c>
      <c r="AU144">
        <v>22</v>
      </c>
      <c r="AX144" t="s">
        <v>155</v>
      </c>
      <c r="BC144">
        <v>5</v>
      </c>
      <c r="BF144">
        <v>1.1000000000000001</v>
      </c>
      <c r="BG144" t="s">
        <v>155</v>
      </c>
    </row>
    <row r="145" spans="1:61" x14ac:dyDescent="0.2">
      <c r="A145" t="s">
        <v>510</v>
      </c>
      <c r="B145" t="s">
        <v>511</v>
      </c>
      <c r="C145" t="s">
        <v>512</v>
      </c>
      <c r="D145" t="s">
        <v>513</v>
      </c>
      <c r="E145" s="1" t="s">
        <v>168</v>
      </c>
      <c r="F145" s="1" t="s">
        <v>153</v>
      </c>
      <c r="G145" t="s">
        <v>515</v>
      </c>
      <c r="I145" s="16">
        <f>(2500*1.66)</f>
        <v>4150</v>
      </c>
      <c r="K145">
        <v>4.4000000000000004</v>
      </c>
      <c r="N145">
        <v>10</v>
      </c>
      <c r="Q145" t="s">
        <v>155</v>
      </c>
      <c r="T145" t="s">
        <v>155</v>
      </c>
      <c r="W145">
        <v>4.0999999999999996</v>
      </c>
      <c r="Z145" t="s">
        <v>155</v>
      </c>
      <c r="AC145">
        <v>5</v>
      </c>
      <c r="AG145" s="16">
        <f>(11000*1.34)</f>
        <v>14740</v>
      </c>
      <c r="AI145">
        <v>10</v>
      </c>
      <c r="AL145" t="s">
        <v>155</v>
      </c>
      <c r="AO145">
        <v>20</v>
      </c>
      <c r="AT145">
        <v>1.4</v>
      </c>
      <c r="AU145">
        <v>66</v>
      </c>
      <c r="AX145" t="s">
        <v>155</v>
      </c>
      <c r="BA145">
        <v>7.9</v>
      </c>
      <c r="BD145">
        <v>11</v>
      </c>
      <c r="BG145" t="s">
        <v>155</v>
      </c>
    </row>
    <row r="146" spans="1:61" x14ac:dyDescent="0.2">
      <c r="A146" s="10" t="s">
        <v>516</v>
      </c>
      <c r="B146" s="10" t="s">
        <v>517</v>
      </c>
      <c r="C146" s="10" t="s">
        <v>518</v>
      </c>
      <c r="D146" s="10" t="s">
        <v>353</v>
      </c>
      <c r="E146" s="11" t="s">
        <v>168</v>
      </c>
      <c r="F146" s="11" t="s">
        <v>140</v>
      </c>
      <c r="G146" s="10" t="s">
        <v>519</v>
      </c>
      <c r="I146" s="16">
        <f>(28000*1.66)</f>
        <v>46480</v>
      </c>
      <c r="M146">
        <v>5</v>
      </c>
      <c r="N146">
        <v>17</v>
      </c>
      <c r="S146">
        <v>0.89</v>
      </c>
      <c r="V146">
        <v>420</v>
      </c>
      <c r="W146">
        <v>58</v>
      </c>
      <c r="AB146">
        <v>4</v>
      </c>
      <c r="AC146">
        <v>13</v>
      </c>
      <c r="AF146">
        <v>37000</v>
      </c>
      <c r="AI146">
        <v>26</v>
      </c>
      <c r="AL146">
        <v>490</v>
      </c>
      <c r="AP146" s="16">
        <f>(58*1.24)</f>
        <v>71.92</v>
      </c>
      <c r="AR146">
        <v>16</v>
      </c>
      <c r="AW146">
        <v>500</v>
      </c>
      <c r="AZ146">
        <v>50</v>
      </c>
      <c r="BB146" s="16">
        <f>(61*1.34)</f>
        <v>81.740000000000009</v>
      </c>
      <c r="BE146" s="16">
        <f>(17*1.5)</f>
        <v>25.5</v>
      </c>
      <c r="BI146">
        <v>0.08</v>
      </c>
    </row>
    <row r="147" spans="1:61" x14ac:dyDescent="0.2">
      <c r="A147" s="10" t="s">
        <v>516</v>
      </c>
      <c r="B147" s="10" t="s">
        <v>517</v>
      </c>
      <c r="C147" s="10" t="s">
        <v>518</v>
      </c>
      <c r="D147" s="10" t="s">
        <v>353</v>
      </c>
      <c r="E147" s="11" t="s">
        <v>168</v>
      </c>
      <c r="F147" s="11" t="s">
        <v>141</v>
      </c>
      <c r="G147" s="10" t="s">
        <v>520</v>
      </c>
      <c r="I147" s="16">
        <f>(20000*1.66)</f>
        <v>33200</v>
      </c>
      <c r="M147">
        <v>1</v>
      </c>
      <c r="N147">
        <v>84</v>
      </c>
      <c r="S147">
        <v>0.98</v>
      </c>
      <c r="V147">
        <v>50</v>
      </c>
      <c r="W147">
        <v>8.4</v>
      </c>
      <c r="Z147">
        <v>17</v>
      </c>
      <c r="AC147">
        <v>12</v>
      </c>
      <c r="AF147">
        <v>48000</v>
      </c>
      <c r="AI147">
        <v>23</v>
      </c>
      <c r="AL147">
        <v>4000</v>
      </c>
      <c r="AP147" s="16">
        <f>(420*1.24)</f>
        <v>520.79999999999995</v>
      </c>
      <c r="AR147">
        <v>16</v>
      </c>
      <c r="AU147">
        <v>5000</v>
      </c>
      <c r="AZ147">
        <v>70</v>
      </c>
      <c r="BB147" s="16">
        <f>(140*1.34)</f>
        <v>187.60000000000002</v>
      </c>
      <c r="BE147" s="16">
        <f>(64*1.5)</f>
        <v>96</v>
      </c>
      <c r="BI147">
        <v>0.1</v>
      </c>
    </row>
    <row r="148" spans="1:61" x14ac:dyDescent="0.2">
      <c r="A148" s="10" t="s">
        <v>516</v>
      </c>
      <c r="B148" s="10" t="s">
        <v>517</v>
      </c>
      <c r="C148" s="10" t="s">
        <v>518</v>
      </c>
      <c r="D148" s="10" t="s">
        <v>353</v>
      </c>
      <c r="E148" s="11" t="s">
        <v>168</v>
      </c>
      <c r="F148" s="11" t="s">
        <v>153</v>
      </c>
      <c r="G148" s="10" t="s">
        <v>521</v>
      </c>
      <c r="I148" s="16">
        <f>(19000*1.66)</f>
        <v>31540</v>
      </c>
      <c r="M148">
        <v>5</v>
      </c>
      <c r="N148">
        <v>39</v>
      </c>
      <c r="S148">
        <v>1</v>
      </c>
      <c r="T148">
        <v>820</v>
      </c>
      <c r="W148">
        <v>51</v>
      </c>
      <c r="AB148">
        <v>4.5999999999999996</v>
      </c>
      <c r="AC148">
        <v>10</v>
      </c>
      <c r="AF148">
        <v>32000</v>
      </c>
      <c r="AI148">
        <v>130</v>
      </c>
      <c r="AL148">
        <v>1100</v>
      </c>
      <c r="AP148" s="16">
        <f>(97*1.24)</f>
        <v>120.28</v>
      </c>
      <c r="AR148">
        <v>9.1999999999999993</v>
      </c>
      <c r="AW148">
        <v>1300</v>
      </c>
      <c r="AZ148">
        <v>70</v>
      </c>
      <c r="BB148" s="16">
        <f>(47*1.34)</f>
        <v>62.980000000000004</v>
      </c>
      <c r="BE148" s="16">
        <f>(50*1.5)</f>
        <v>75</v>
      </c>
      <c r="BI148">
        <v>0.11</v>
      </c>
    </row>
    <row r="149" spans="1:61" x14ac:dyDescent="0.2">
      <c r="A149" t="s">
        <v>522</v>
      </c>
      <c r="B149" t="s">
        <v>523</v>
      </c>
      <c r="C149" t="s">
        <v>524</v>
      </c>
      <c r="D149" t="s">
        <v>343</v>
      </c>
      <c r="E149" s="1" t="s">
        <v>8</v>
      </c>
      <c r="F149" s="1" t="s">
        <v>140</v>
      </c>
      <c r="G149" t="s">
        <v>525</v>
      </c>
      <c r="H149" t="s">
        <v>155</v>
      </c>
      <c r="M149">
        <v>2</v>
      </c>
      <c r="N149">
        <v>7.8</v>
      </c>
      <c r="S149">
        <v>16</v>
      </c>
      <c r="T149" t="s">
        <v>155</v>
      </c>
      <c r="Y149">
        <v>40</v>
      </c>
      <c r="AB149">
        <v>10</v>
      </c>
      <c r="AC149" s="13" t="s">
        <v>155</v>
      </c>
      <c r="AF149" t="s">
        <v>155</v>
      </c>
      <c r="AK149">
        <v>20</v>
      </c>
      <c r="AL149" t="s">
        <v>155</v>
      </c>
      <c r="AO149" t="s">
        <v>155</v>
      </c>
      <c r="AR149" t="s">
        <v>155</v>
      </c>
      <c r="AU149" t="s">
        <v>155</v>
      </c>
      <c r="AX149" t="s">
        <v>155</v>
      </c>
      <c r="BA149" t="s">
        <v>155</v>
      </c>
      <c r="BD149" t="s">
        <v>155</v>
      </c>
      <c r="BI149">
        <v>0.1</v>
      </c>
    </row>
    <row r="150" spans="1:61" x14ac:dyDescent="0.2">
      <c r="A150" s="10" t="s">
        <v>526</v>
      </c>
      <c r="B150" s="10" t="s">
        <v>527</v>
      </c>
      <c r="C150" s="10" t="s">
        <v>337</v>
      </c>
      <c r="D150" s="10" t="s">
        <v>338</v>
      </c>
      <c r="E150" s="11" t="s">
        <v>168</v>
      </c>
      <c r="F150" s="11" t="s">
        <v>141</v>
      </c>
      <c r="G150" s="10" t="s">
        <v>528</v>
      </c>
      <c r="H150">
        <v>1700</v>
      </c>
      <c r="M150">
        <v>1.9</v>
      </c>
      <c r="P150">
        <v>6.1</v>
      </c>
      <c r="S150">
        <v>1</v>
      </c>
      <c r="V150">
        <v>150</v>
      </c>
      <c r="X150" s="16">
        <f>(2.8*1.29)</f>
        <v>3.6119999999999997</v>
      </c>
      <c r="AB150">
        <v>1.4</v>
      </c>
      <c r="AE150">
        <v>0.9</v>
      </c>
      <c r="AF150">
        <v>920</v>
      </c>
      <c r="AK150">
        <v>3</v>
      </c>
      <c r="AN150">
        <v>96</v>
      </c>
      <c r="AO150">
        <v>2.8</v>
      </c>
      <c r="AT150">
        <v>2.7</v>
      </c>
      <c r="AW150">
        <v>350</v>
      </c>
      <c r="AZ150">
        <v>71</v>
      </c>
      <c r="BA150">
        <v>1.8</v>
      </c>
      <c r="BD150">
        <v>2</v>
      </c>
      <c r="BI150">
        <v>0.1</v>
      </c>
    </row>
    <row r="151" spans="1:61" x14ac:dyDescent="0.2">
      <c r="A151" t="s">
        <v>529</v>
      </c>
      <c r="B151" t="s">
        <v>530</v>
      </c>
      <c r="C151" t="s">
        <v>531</v>
      </c>
      <c r="D151" t="s">
        <v>532</v>
      </c>
      <c r="E151" s="1" t="s">
        <v>168</v>
      </c>
      <c r="F151" s="1" t="s">
        <v>140</v>
      </c>
      <c r="G151">
        <v>3665</v>
      </c>
      <c r="H151" t="s">
        <v>155</v>
      </c>
      <c r="K151">
        <v>2.4</v>
      </c>
      <c r="N151">
        <v>70</v>
      </c>
      <c r="S151">
        <v>4</v>
      </c>
      <c r="T151" t="s">
        <v>155</v>
      </c>
      <c r="W151">
        <v>21</v>
      </c>
      <c r="Z151" t="s">
        <v>155</v>
      </c>
      <c r="AC151" t="s">
        <v>155</v>
      </c>
      <c r="AF151" t="s">
        <v>155</v>
      </c>
      <c r="AI151">
        <v>18</v>
      </c>
      <c r="AL151" t="s">
        <v>155</v>
      </c>
      <c r="AO151" t="s">
        <v>155</v>
      </c>
      <c r="AR151" t="s">
        <v>155</v>
      </c>
      <c r="AU151" t="s">
        <v>155</v>
      </c>
      <c r="AX151" t="s">
        <v>155</v>
      </c>
      <c r="BA151" t="s">
        <v>155</v>
      </c>
      <c r="BD151" t="s">
        <v>155</v>
      </c>
      <c r="BI151">
        <v>0.1</v>
      </c>
    </row>
    <row r="152" spans="1:61" x14ac:dyDescent="0.2">
      <c r="A152" t="s">
        <v>529</v>
      </c>
      <c r="B152" t="s">
        <v>530</v>
      </c>
      <c r="C152" t="s">
        <v>531</v>
      </c>
      <c r="D152" t="s">
        <v>532</v>
      </c>
      <c r="E152" s="1" t="s">
        <v>168</v>
      </c>
      <c r="F152" s="1" t="s">
        <v>141</v>
      </c>
      <c r="G152">
        <v>3666</v>
      </c>
      <c r="H152" t="s">
        <v>155</v>
      </c>
      <c r="K152">
        <v>1</v>
      </c>
      <c r="N152">
        <v>25</v>
      </c>
      <c r="Q152">
        <v>10</v>
      </c>
      <c r="T152" t="s">
        <v>155</v>
      </c>
      <c r="Y152">
        <v>10</v>
      </c>
      <c r="Z152" t="s">
        <v>155</v>
      </c>
      <c r="AC152" t="s">
        <v>155</v>
      </c>
      <c r="AF152" t="s">
        <v>155</v>
      </c>
      <c r="AI152">
        <v>3</v>
      </c>
      <c r="AL152" t="s">
        <v>155</v>
      </c>
      <c r="AO152" t="s">
        <v>155</v>
      </c>
      <c r="AR152" t="s">
        <v>155</v>
      </c>
      <c r="AU152" t="s">
        <v>155</v>
      </c>
      <c r="AX152" t="s">
        <v>155</v>
      </c>
      <c r="BA152" t="s">
        <v>155</v>
      </c>
      <c r="BD152" t="s">
        <v>155</v>
      </c>
      <c r="BG152">
        <v>0.15</v>
      </c>
    </row>
    <row r="153" spans="1:61" x14ac:dyDescent="0.2">
      <c r="A153" t="s">
        <v>533</v>
      </c>
      <c r="B153" t="s">
        <v>534</v>
      </c>
      <c r="C153" t="s">
        <v>229</v>
      </c>
      <c r="D153" t="s">
        <v>230</v>
      </c>
      <c r="E153" s="1" t="s">
        <v>8</v>
      </c>
      <c r="F153" s="1" t="s">
        <v>140</v>
      </c>
      <c r="G153" t="s">
        <v>535</v>
      </c>
      <c r="H153">
        <v>2300</v>
      </c>
      <c r="K153" t="s">
        <v>155</v>
      </c>
      <c r="N153">
        <v>9.8000000000000007</v>
      </c>
      <c r="Q153" t="s">
        <v>155</v>
      </c>
      <c r="T153" t="s">
        <v>155</v>
      </c>
      <c r="Y153">
        <v>1.8</v>
      </c>
      <c r="Z153" t="s">
        <v>155</v>
      </c>
      <c r="AC153" t="s">
        <v>155</v>
      </c>
      <c r="AF153">
        <v>790</v>
      </c>
      <c r="AJ153" s="16">
        <f>(2.5*1.44)</f>
        <v>3.5999999999999996</v>
      </c>
      <c r="AL153">
        <v>14</v>
      </c>
      <c r="AO153">
        <v>3.8</v>
      </c>
      <c r="AR153" t="s">
        <v>155</v>
      </c>
      <c r="AW153">
        <v>70</v>
      </c>
      <c r="AX153">
        <v>11</v>
      </c>
      <c r="BB153" s="16">
        <f>(2.1*1.34)</f>
        <v>2.8140000000000005</v>
      </c>
      <c r="BD153" t="s">
        <v>155</v>
      </c>
      <c r="BG153" t="s">
        <v>155</v>
      </c>
    </row>
    <row r="154" spans="1:61" x14ac:dyDescent="0.2">
      <c r="A154" t="s">
        <v>533</v>
      </c>
      <c r="B154" t="s">
        <v>534</v>
      </c>
      <c r="C154" t="s">
        <v>229</v>
      </c>
      <c r="D154" t="s">
        <v>230</v>
      </c>
      <c r="E154" s="1" t="s">
        <v>8</v>
      </c>
      <c r="F154" s="1" t="s">
        <v>153</v>
      </c>
      <c r="G154" t="s">
        <v>536</v>
      </c>
      <c r="H154">
        <v>1900</v>
      </c>
      <c r="M154">
        <v>3</v>
      </c>
      <c r="N154">
        <v>20</v>
      </c>
      <c r="Q154" t="s">
        <v>155</v>
      </c>
      <c r="T154">
        <v>550</v>
      </c>
      <c r="Y154">
        <v>1.5</v>
      </c>
      <c r="Z154">
        <v>5.8</v>
      </c>
      <c r="AC154" t="s">
        <v>155</v>
      </c>
      <c r="AE154">
        <v>1.5</v>
      </c>
      <c r="AF154">
        <v>1500</v>
      </c>
      <c r="AI154">
        <v>5.8</v>
      </c>
      <c r="AL154">
        <v>160</v>
      </c>
      <c r="AP154" s="16">
        <f>(12*1.24)</f>
        <v>14.879999999999999</v>
      </c>
      <c r="AT154">
        <v>1.2</v>
      </c>
      <c r="AU154">
        <v>99</v>
      </c>
      <c r="AZ154">
        <v>40</v>
      </c>
      <c r="BC154">
        <v>4</v>
      </c>
      <c r="BD154">
        <v>20</v>
      </c>
      <c r="BG154" t="s">
        <v>155</v>
      </c>
    </row>
    <row r="155" spans="1:61" x14ac:dyDescent="0.2">
      <c r="A155" t="s">
        <v>537</v>
      </c>
      <c r="B155" t="s">
        <v>538</v>
      </c>
      <c r="C155" t="s">
        <v>539</v>
      </c>
      <c r="D155" t="s">
        <v>159</v>
      </c>
      <c r="E155" s="1" t="s">
        <v>168</v>
      </c>
      <c r="F155" s="1" t="s">
        <v>140</v>
      </c>
      <c r="G155">
        <v>3858</v>
      </c>
      <c r="H155" t="s">
        <v>155</v>
      </c>
      <c r="K155">
        <v>1.8</v>
      </c>
      <c r="N155">
        <v>27</v>
      </c>
      <c r="S155">
        <v>2.2000000000000002</v>
      </c>
      <c r="T155" t="s">
        <v>155</v>
      </c>
      <c r="W155">
        <v>116</v>
      </c>
      <c r="Z155" t="s">
        <v>155</v>
      </c>
      <c r="AC155">
        <v>9</v>
      </c>
      <c r="AF155" t="s">
        <v>155</v>
      </c>
      <c r="AI155">
        <v>36</v>
      </c>
      <c r="AL155" t="s">
        <v>155</v>
      </c>
      <c r="AO155" t="s">
        <v>155</v>
      </c>
      <c r="AR155">
        <v>5</v>
      </c>
      <c r="AU155" t="s">
        <v>155</v>
      </c>
      <c r="AX155" t="s">
        <v>155</v>
      </c>
      <c r="BA155" t="s">
        <v>155</v>
      </c>
      <c r="BD155" t="s">
        <v>155</v>
      </c>
      <c r="BI155">
        <v>0.1</v>
      </c>
    </row>
    <row r="156" spans="1:61" x14ac:dyDescent="0.2">
      <c r="A156" t="s">
        <v>540</v>
      </c>
      <c r="B156" t="s">
        <v>541</v>
      </c>
      <c r="C156" t="s">
        <v>542</v>
      </c>
      <c r="D156" t="s">
        <v>304</v>
      </c>
      <c r="E156" s="1" t="s">
        <v>168</v>
      </c>
      <c r="F156" s="1" t="s">
        <v>140</v>
      </c>
      <c r="G156">
        <v>15833</v>
      </c>
      <c r="H156">
        <v>30021</v>
      </c>
      <c r="M156">
        <v>4</v>
      </c>
      <c r="N156">
        <v>31</v>
      </c>
      <c r="S156">
        <v>16</v>
      </c>
      <c r="T156" t="s">
        <v>155</v>
      </c>
      <c r="W156">
        <v>21</v>
      </c>
      <c r="Z156" t="s">
        <v>155</v>
      </c>
      <c r="AC156" t="s">
        <v>155</v>
      </c>
      <c r="AF156">
        <v>41527</v>
      </c>
      <c r="AI156">
        <v>20</v>
      </c>
      <c r="AL156" t="s">
        <v>155</v>
      </c>
      <c r="AO156" t="s">
        <v>155</v>
      </c>
      <c r="AR156" t="s">
        <v>155</v>
      </c>
      <c r="AU156" t="s">
        <v>155</v>
      </c>
      <c r="AX156" t="s">
        <v>155</v>
      </c>
      <c r="BA156" t="s">
        <v>155</v>
      </c>
      <c r="BD156" t="s">
        <v>155</v>
      </c>
      <c r="BI156">
        <v>0.1</v>
      </c>
    </row>
    <row r="157" spans="1:61" x14ac:dyDescent="0.2">
      <c r="A157" s="10" t="s">
        <v>543</v>
      </c>
      <c r="B157" s="10" t="s">
        <v>544</v>
      </c>
      <c r="C157" s="10" t="s">
        <v>545</v>
      </c>
      <c r="D157" s="10" t="s">
        <v>384</v>
      </c>
      <c r="E157" s="11" t="s">
        <v>168</v>
      </c>
      <c r="F157" s="11" t="s">
        <v>140</v>
      </c>
      <c r="G157" s="10" t="s">
        <v>546</v>
      </c>
      <c r="H157">
        <v>15000</v>
      </c>
      <c r="K157">
        <v>2.5</v>
      </c>
      <c r="N157">
        <v>26</v>
      </c>
      <c r="S157">
        <v>0.26</v>
      </c>
      <c r="T157">
        <v>1000</v>
      </c>
      <c r="W157">
        <v>18</v>
      </c>
      <c r="Z157">
        <v>0.66</v>
      </c>
      <c r="AC157">
        <v>11</v>
      </c>
      <c r="AF157">
        <v>7500</v>
      </c>
      <c r="AI157">
        <v>20</v>
      </c>
      <c r="AL157">
        <v>410</v>
      </c>
      <c r="AO157">
        <v>54</v>
      </c>
      <c r="AR157">
        <v>4.5</v>
      </c>
      <c r="AU157">
        <v>240</v>
      </c>
      <c r="AX157">
        <v>70</v>
      </c>
      <c r="BA157">
        <v>34</v>
      </c>
      <c r="BD157">
        <v>33</v>
      </c>
      <c r="BI157">
        <v>0.13</v>
      </c>
    </row>
    <row r="158" spans="1:61" x14ac:dyDescent="0.2">
      <c r="A158" s="10" t="s">
        <v>543</v>
      </c>
      <c r="B158" s="10" t="s">
        <v>544</v>
      </c>
      <c r="C158" s="10" t="s">
        <v>545</v>
      </c>
      <c r="D158" s="10" t="s">
        <v>384</v>
      </c>
      <c r="E158" s="11" t="s">
        <v>168</v>
      </c>
      <c r="F158" s="11" t="s">
        <v>153</v>
      </c>
      <c r="G158" s="10" t="s">
        <v>547</v>
      </c>
      <c r="H158">
        <v>1400</v>
      </c>
      <c r="M158">
        <v>1.7</v>
      </c>
      <c r="N158">
        <v>8.6</v>
      </c>
      <c r="S158">
        <v>0.28000000000000003</v>
      </c>
      <c r="T158">
        <v>250</v>
      </c>
      <c r="W158">
        <v>2.7</v>
      </c>
      <c r="AB158">
        <v>1</v>
      </c>
      <c r="AE158">
        <v>6</v>
      </c>
      <c r="AF158">
        <v>1000</v>
      </c>
      <c r="AI158">
        <v>6.6</v>
      </c>
      <c r="AL158">
        <v>120</v>
      </c>
      <c r="AO158">
        <v>12</v>
      </c>
      <c r="AR158">
        <v>1.5</v>
      </c>
      <c r="AU158">
        <v>51</v>
      </c>
      <c r="AX158">
        <v>110</v>
      </c>
      <c r="BA158">
        <v>3.4</v>
      </c>
      <c r="BD158">
        <v>24</v>
      </c>
      <c r="BI158">
        <v>0.14000000000000001</v>
      </c>
    </row>
    <row r="159" spans="1:61" x14ac:dyDescent="0.2">
      <c r="A159" s="10" t="s">
        <v>548</v>
      </c>
      <c r="B159" s="10" t="s">
        <v>549</v>
      </c>
      <c r="C159" s="10" t="s">
        <v>545</v>
      </c>
      <c r="D159" s="10" t="s">
        <v>384</v>
      </c>
      <c r="E159" s="11" t="s">
        <v>168</v>
      </c>
      <c r="F159" s="11" t="s">
        <v>140</v>
      </c>
      <c r="G159" s="10" t="s">
        <v>550</v>
      </c>
      <c r="I159" s="16">
        <f>(2200*1.66)</f>
        <v>3652</v>
      </c>
      <c r="M159">
        <v>2</v>
      </c>
      <c r="N159">
        <v>15</v>
      </c>
      <c r="S159">
        <v>0.45</v>
      </c>
      <c r="T159">
        <v>570</v>
      </c>
      <c r="X159" s="16">
        <f>(3.2*1.29)</f>
        <v>4.1280000000000001</v>
      </c>
      <c r="Z159">
        <v>1.6</v>
      </c>
      <c r="AE159">
        <v>8</v>
      </c>
      <c r="AG159" s="16">
        <f>(1100*1.34)</f>
        <v>1474</v>
      </c>
      <c r="AJ159" s="16">
        <f>(16*1.44)</f>
        <v>23.04</v>
      </c>
      <c r="AL159">
        <v>170</v>
      </c>
      <c r="AO159">
        <v>43</v>
      </c>
      <c r="AT159">
        <v>2</v>
      </c>
      <c r="AW159">
        <v>150</v>
      </c>
      <c r="AZ159">
        <v>210</v>
      </c>
      <c r="BC159">
        <v>4</v>
      </c>
      <c r="BD159">
        <v>4.5999999999999996</v>
      </c>
      <c r="BI159">
        <v>0.11</v>
      </c>
    </row>
    <row r="160" spans="1:61" x14ac:dyDescent="0.2">
      <c r="A160" s="10" t="s">
        <v>548</v>
      </c>
      <c r="B160" s="10" t="s">
        <v>549</v>
      </c>
      <c r="C160" s="10" t="s">
        <v>545</v>
      </c>
      <c r="D160" s="10" t="s">
        <v>384</v>
      </c>
      <c r="E160" s="11" t="s">
        <v>168</v>
      </c>
      <c r="F160" s="11" t="s">
        <v>141</v>
      </c>
      <c r="G160" s="10" t="s">
        <v>551</v>
      </c>
      <c r="I160" s="16">
        <f>(3300*1.66)</f>
        <v>5478</v>
      </c>
      <c r="N160">
        <v>5.9</v>
      </c>
      <c r="T160">
        <v>36</v>
      </c>
      <c r="X160" s="16">
        <f>(5.7*1.29)</f>
        <v>7.3530000000000006</v>
      </c>
      <c r="AB160">
        <v>1</v>
      </c>
      <c r="AE160">
        <v>4</v>
      </c>
      <c r="AG160" s="16">
        <f>(1400*1.34)</f>
        <v>1876</v>
      </c>
      <c r="AJ160" s="16">
        <f>(3.1*1.44)</f>
        <v>4.4639999999999995</v>
      </c>
      <c r="AL160">
        <v>38</v>
      </c>
      <c r="AO160">
        <v>1</v>
      </c>
      <c r="AT160">
        <v>2</v>
      </c>
      <c r="AU160">
        <v>150</v>
      </c>
      <c r="AZ160">
        <v>170</v>
      </c>
      <c r="BC160">
        <v>8</v>
      </c>
      <c r="BF160">
        <v>1</v>
      </c>
      <c r="BI160">
        <v>0.11</v>
      </c>
    </row>
    <row r="161" spans="1:61" x14ac:dyDescent="0.2">
      <c r="A161" t="s">
        <v>552</v>
      </c>
      <c r="B161" t="s">
        <v>553</v>
      </c>
      <c r="C161" t="s">
        <v>554</v>
      </c>
      <c r="D161" t="s">
        <v>555</v>
      </c>
      <c r="E161" s="1" t="s">
        <v>168</v>
      </c>
      <c r="F161" s="1" t="s">
        <v>153</v>
      </c>
      <c r="G161" t="s">
        <v>556</v>
      </c>
      <c r="H161" t="s">
        <v>155</v>
      </c>
      <c r="M161">
        <v>3.9</v>
      </c>
      <c r="N161">
        <v>45</v>
      </c>
      <c r="S161">
        <v>9.8000000000000007</v>
      </c>
      <c r="T161" t="s">
        <v>155</v>
      </c>
      <c r="Y161">
        <v>9.8000000000000007</v>
      </c>
      <c r="Z161" t="s">
        <v>155</v>
      </c>
      <c r="AC161" t="s">
        <v>155</v>
      </c>
      <c r="AE161">
        <v>9.8000000000000007</v>
      </c>
      <c r="AF161" t="s">
        <v>155</v>
      </c>
      <c r="AI161">
        <v>20</v>
      </c>
      <c r="AL161" t="s">
        <v>155</v>
      </c>
      <c r="AO161" t="s">
        <v>155</v>
      </c>
      <c r="AT161">
        <v>9.8000000000000007</v>
      </c>
      <c r="AU161" t="s">
        <v>155</v>
      </c>
      <c r="AX161" t="s">
        <v>155</v>
      </c>
      <c r="BA161" t="s">
        <v>155</v>
      </c>
      <c r="BD161">
        <v>20</v>
      </c>
      <c r="BI161">
        <v>0.09</v>
      </c>
    </row>
    <row r="162" spans="1:61" x14ac:dyDescent="0.2">
      <c r="A162" t="s">
        <v>557</v>
      </c>
      <c r="B162" t="s">
        <v>558</v>
      </c>
      <c r="C162" t="s">
        <v>424</v>
      </c>
      <c r="D162" t="s">
        <v>136</v>
      </c>
      <c r="E162" s="1" t="s">
        <v>8</v>
      </c>
      <c r="F162" s="1" t="s">
        <v>140</v>
      </c>
      <c r="G162">
        <v>15977</v>
      </c>
      <c r="H162" t="s">
        <v>155</v>
      </c>
      <c r="M162">
        <v>2</v>
      </c>
      <c r="N162">
        <v>16</v>
      </c>
      <c r="S162">
        <v>16</v>
      </c>
      <c r="T162" t="s">
        <v>155</v>
      </c>
      <c r="W162">
        <v>21</v>
      </c>
      <c r="Z162" t="s">
        <v>155</v>
      </c>
      <c r="AC162" t="s">
        <v>155</v>
      </c>
      <c r="AF162" t="s">
        <v>155</v>
      </c>
      <c r="AK162">
        <v>20</v>
      </c>
      <c r="AL162" t="s">
        <v>155</v>
      </c>
      <c r="AO162" t="s">
        <v>155</v>
      </c>
      <c r="AR162" t="s">
        <v>155</v>
      </c>
      <c r="AU162" t="s">
        <v>155</v>
      </c>
      <c r="AX162" t="s">
        <v>155</v>
      </c>
      <c r="BA162" t="s">
        <v>155</v>
      </c>
      <c r="BD162" t="s">
        <v>155</v>
      </c>
      <c r="BI162">
        <v>0.09</v>
      </c>
    </row>
    <row r="163" spans="1:61" x14ac:dyDescent="0.2">
      <c r="A163" t="s">
        <v>418</v>
      </c>
      <c r="B163" t="s">
        <v>559</v>
      </c>
      <c r="C163" t="s">
        <v>180</v>
      </c>
      <c r="D163" t="s">
        <v>136</v>
      </c>
      <c r="E163" s="1" t="s">
        <v>8</v>
      </c>
      <c r="F163" s="1" t="s">
        <v>140</v>
      </c>
      <c r="G163">
        <v>15809</v>
      </c>
      <c r="H163" t="s">
        <v>155</v>
      </c>
      <c r="M163">
        <v>10</v>
      </c>
      <c r="N163">
        <v>55</v>
      </c>
      <c r="S163">
        <v>15</v>
      </c>
      <c r="T163" t="s">
        <v>155</v>
      </c>
      <c r="W163">
        <v>24</v>
      </c>
      <c r="Z163" t="s">
        <v>155</v>
      </c>
      <c r="AC163" t="s">
        <v>155</v>
      </c>
      <c r="AF163" t="s">
        <v>155</v>
      </c>
      <c r="AI163">
        <v>113</v>
      </c>
      <c r="AL163" t="s">
        <v>155</v>
      </c>
      <c r="AO163" t="s">
        <v>155</v>
      </c>
      <c r="AR163" t="s">
        <v>155</v>
      </c>
      <c r="AU163" t="s">
        <v>155</v>
      </c>
      <c r="AX163" t="s">
        <v>155</v>
      </c>
      <c r="BA163" t="s">
        <v>155</v>
      </c>
      <c r="BD163" t="s">
        <v>155</v>
      </c>
      <c r="BG163">
        <v>0.16</v>
      </c>
    </row>
    <row r="164" spans="1:61" x14ac:dyDescent="0.2">
      <c r="A164" t="s">
        <v>560</v>
      </c>
      <c r="B164" t="s">
        <v>561</v>
      </c>
      <c r="C164" t="s">
        <v>158</v>
      </c>
      <c r="D164" t="s">
        <v>159</v>
      </c>
      <c r="E164" s="1" t="s">
        <v>8</v>
      </c>
      <c r="F164" s="1" t="s">
        <v>140</v>
      </c>
      <c r="G164" t="s">
        <v>562</v>
      </c>
      <c r="H164">
        <v>15000</v>
      </c>
      <c r="M164">
        <v>1</v>
      </c>
      <c r="O164" s="16">
        <f>(150*3.99)</f>
        <v>598.5</v>
      </c>
      <c r="Q164">
        <v>0.84</v>
      </c>
      <c r="U164" s="16">
        <f>(2400*1.28)</f>
        <v>3072</v>
      </c>
      <c r="W164">
        <v>17</v>
      </c>
      <c r="AB164">
        <v>10</v>
      </c>
      <c r="AC164">
        <v>7.3</v>
      </c>
      <c r="AF164">
        <v>18000</v>
      </c>
      <c r="AI164">
        <v>14</v>
      </c>
      <c r="AM164" s="16">
        <f>(3900*1.23)</f>
        <v>4797</v>
      </c>
      <c r="AP164" s="16">
        <f>(280*1.24)</f>
        <v>347.2</v>
      </c>
      <c r="AR164">
        <v>11</v>
      </c>
      <c r="AU164">
        <v>2500</v>
      </c>
      <c r="AZ164">
        <v>340</v>
      </c>
      <c r="BA164">
        <v>43</v>
      </c>
      <c r="BE164" s="16">
        <f>(41*1.5)</f>
        <v>61.5</v>
      </c>
      <c r="BI164">
        <v>0.1</v>
      </c>
    </row>
    <row r="165" spans="1:61" x14ac:dyDescent="0.2">
      <c r="A165" t="s">
        <v>563</v>
      </c>
      <c r="B165" t="s">
        <v>564</v>
      </c>
      <c r="C165" t="s">
        <v>337</v>
      </c>
      <c r="D165" t="s">
        <v>338</v>
      </c>
      <c r="E165" s="1" t="s">
        <v>8</v>
      </c>
      <c r="F165" s="1" t="s">
        <v>140</v>
      </c>
      <c r="G165">
        <v>3863</v>
      </c>
      <c r="H165" t="s">
        <v>155</v>
      </c>
      <c r="M165">
        <v>1.9</v>
      </c>
      <c r="N165">
        <v>81</v>
      </c>
      <c r="S165">
        <v>2.4</v>
      </c>
      <c r="T165" t="s">
        <v>155</v>
      </c>
      <c r="W165">
        <v>3.8</v>
      </c>
      <c r="Z165" t="s">
        <v>155</v>
      </c>
      <c r="AC165" t="s">
        <v>155</v>
      </c>
      <c r="AF165" t="s">
        <v>155</v>
      </c>
      <c r="AI165">
        <v>120</v>
      </c>
      <c r="AL165" t="s">
        <v>155</v>
      </c>
      <c r="AO165" t="s">
        <v>155</v>
      </c>
      <c r="AR165" t="s">
        <v>155</v>
      </c>
      <c r="AU165" t="s">
        <v>155</v>
      </c>
      <c r="AX165" t="s">
        <v>155</v>
      </c>
      <c r="BA165" t="s">
        <v>155</v>
      </c>
      <c r="BD165" t="s">
        <v>155</v>
      </c>
      <c r="BI165">
        <v>0.1</v>
      </c>
    </row>
    <row r="166" spans="1:61" x14ac:dyDescent="0.2">
      <c r="A166" t="s">
        <v>565</v>
      </c>
      <c r="B166" t="s">
        <v>566</v>
      </c>
      <c r="C166" t="s">
        <v>567</v>
      </c>
      <c r="D166" t="s">
        <v>555</v>
      </c>
      <c r="E166" s="1" t="s">
        <v>8</v>
      </c>
      <c r="F166" s="1" t="s">
        <v>140</v>
      </c>
      <c r="G166" t="s">
        <v>568</v>
      </c>
      <c r="H166">
        <v>24100</v>
      </c>
      <c r="K166">
        <v>2.7</v>
      </c>
      <c r="N166">
        <v>418</v>
      </c>
      <c r="Q166" t="s">
        <v>155</v>
      </c>
      <c r="T166">
        <v>295</v>
      </c>
      <c r="X166" s="16">
        <f>(11.3*1.29)</f>
        <v>14.577000000000002</v>
      </c>
      <c r="Z166">
        <v>1.7</v>
      </c>
      <c r="AE166">
        <v>3</v>
      </c>
      <c r="AF166" t="s">
        <v>155</v>
      </c>
      <c r="AJ166" s="16">
        <f>(17.2*1.44)</f>
        <v>24.767999999999997</v>
      </c>
      <c r="AL166">
        <v>706</v>
      </c>
      <c r="AO166">
        <v>54.5</v>
      </c>
      <c r="AR166">
        <v>4</v>
      </c>
      <c r="AU166">
        <v>2450</v>
      </c>
      <c r="AX166">
        <v>2540</v>
      </c>
      <c r="BA166">
        <v>20.2</v>
      </c>
      <c r="BD166">
        <v>30.4</v>
      </c>
      <c r="BI166">
        <v>0.1</v>
      </c>
    </row>
    <row r="167" spans="1:61" x14ac:dyDescent="0.2">
      <c r="A167" t="s">
        <v>569</v>
      </c>
      <c r="B167" t="s">
        <v>570</v>
      </c>
      <c r="C167" t="s">
        <v>545</v>
      </c>
      <c r="D167" t="s">
        <v>384</v>
      </c>
      <c r="E167" s="1" t="s">
        <v>168</v>
      </c>
      <c r="F167" s="1" t="s">
        <v>140</v>
      </c>
      <c r="G167" t="s">
        <v>571</v>
      </c>
      <c r="H167">
        <v>22000</v>
      </c>
      <c r="M167">
        <v>3</v>
      </c>
      <c r="N167">
        <v>32</v>
      </c>
      <c r="S167">
        <v>0.46</v>
      </c>
      <c r="T167" t="s">
        <v>155</v>
      </c>
      <c r="W167">
        <v>18</v>
      </c>
      <c r="Z167">
        <v>2.1</v>
      </c>
      <c r="AE167">
        <v>6</v>
      </c>
      <c r="AF167">
        <v>9400</v>
      </c>
      <c r="AJ167" s="16">
        <f>(9.4*1.44)</f>
        <v>13.536</v>
      </c>
      <c r="AM167" s="16">
        <f>(370*1.23)</f>
        <v>455.09999999999997</v>
      </c>
      <c r="AO167">
        <v>47</v>
      </c>
      <c r="AR167">
        <v>7.4</v>
      </c>
      <c r="AW167">
        <v>270</v>
      </c>
      <c r="AZ167">
        <v>230</v>
      </c>
      <c r="BA167">
        <v>33</v>
      </c>
      <c r="BF167">
        <v>20</v>
      </c>
      <c r="BI167">
        <v>0.12</v>
      </c>
    </row>
    <row r="168" spans="1:61" x14ac:dyDescent="0.2">
      <c r="A168" t="s">
        <v>569</v>
      </c>
      <c r="B168" t="s">
        <v>570</v>
      </c>
      <c r="C168" t="s">
        <v>545</v>
      </c>
      <c r="D168" t="s">
        <v>384</v>
      </c>
      <c r="E168" s="1" t="s">
        <v>168</v>
      </c>
      <c r="F168" s="1" t="s">
        <v>141</v>
      </c>
      <c r="G168" t="s">
        <v>572</v>
      </c>
      <c r="H168">
        <v>27000</v>
      </c>
      <c r="K168">
        <v>3.3</v>
      </c>
      <c r="N168">
        <v>18</v>
      </c>
      <c r="S168">
        <v>0.51</v>
      </c>
      <c r="T168" t="s">
        <v>155</v>
      </c>
      <c r="W168">
        <v>23</v>
      </c>
      <c r="Z168">
        <v>3.1</v>
      </c>
      <c r="AE168">
        <v>2</v>
      </c>
      <c r="AF168">
        <v>19000</v>
      </c>
      <c r="AJ168" s="16">
        <f>(6.6*1.44)</f>
        <v>9.5039999999999996</v>
      </c>
      <c r="AM168" s="16">
        <f>(240*1.23)</f>
        <v>295.2</v>
      </c>
      <c r="AQ168">
        <v>6</v>
      </c>
      <c r="AR168">
        <v>7.1</v>
      </c>
      <c r="AW168">
        <v>160</v>
      </c>
      <c r="AZ168">
        <v>250</v>
      </c>
      <c r="BA168">
        <v>86</v>
      </c>
      <c r="BF168">
        <v>5</v>
      </c>
      <c r="BI168">
        <v>0.06</v>
      </c>
    </row>
    <row r="169" spans="1:61" x14ac:dyDescent="0.2">
      <c r="A169" t="s">
        <v>569</v>
      </c>
      <c r="B169" t="s">
        <v>570</v>
      </c>
      <c r="C169" t="s">
        <v>545</v>
      </c>
      <c r="D169" t="s">
        <v>384</v>
      </c>
      <c r="E169" s="1" t="s">
        <v>168</v>
      </c>
      <c r="F169" s="1" t="s">
        <v>153</v>
      </c>
      <c r="G169" t="s">
        <v>573</v>
      </c>
      <c r="H169">
        <v>8200</v>
      </c>
      <c r="M169">
        <v>1</v>
      </c>
      <c r="N169">
        <v>37</v>
      </c>
      <c r="S169">
        <v>0.5</v>
      </c>
      <c r="T169" t="s">
        <v>155</v>
      </c>
      <c r="W169">
        <v>6.2</v>
      </c>
      <c r="AB169">
        <v>2</v>
      </c>
      <c r="AE169">
        <v>5</v>
      </c>
      <c r="AF169">
        <v>5100</v>
      </c>
      <c r="AJ169" s="16">
        <f>(9.7*1.44)</f>
        <v>13.967999999999998</v>
      </c>
      <c r="AM169" s="16">
        <f>(190*1.23)</f>
        <v>233.7</v>
      </c>
      <c r="AO169">
        <v>36</v>
      </c>
      <c r="AR169">
        <v>3.1</v>
      </c>
      <c r="AW169">
        <v>80</v>
      </c>
      <c r="AZ169">
        <v>230</v>
      </c>
      <c r="BA169">
        <v>14</v>
      </c>
      <c r="BF169">
        <v>9</v>
      </c>
      <c r="BI169">
        <v>0.13</v>
      </c>
    </row>
    <row r="170" spans="1:61" x14ac:dyDescent="0.2">
      <c r="A170" s="10" t="s">
        <v>574</v>
      </c>
      <c r="B170" s="10" t="s">
        <v>575</v>
      </c>
      <c r="C170" s="10" t="s">
        <v>576</v>
      </c>
      <c r="D170" s="10" t="s">
        <v>577</v>
      </c>
      <c r="E170" s="11" t="s">
        <v>168</v>
      </c>
      <c r="F170" s="11" t="s">
        <v>140</v>
      </c>
      <c r="G170" s="10" t="s">
        <v>571</v>
      </c>
      <c r="I170" s="16">
        <f>(7400*1.66)</f>
        <v>12284</v>
      </c>
      <c r="M170">
        <v>1.3</v>
      </c>
      <c r="P170">
        <v>20</v>
      </c>
      <c r="S170">
        <v>1.4</v>
      </c>
      <c r="V170">
        <v>440</v>
      </c>
      <c r="W170">
        <v>5.7</v>
      </c>
      <c r="AB170">
        <v>4.5999999999999996</v>
      </c>
      <c r="AC170">
        <v>18</v>
      </c>
      <c r="AF170">
        <v>2200</v>
      </c>
      <c r="AI170">
        <v>230</v>
      </c>
      <c r="AN170">
        <v>460</v>
      </c>
      <c r="AO170">
        <v>5.8</v>
      </c>
      <c r="AR170">
        <v>8.9</v>
      </c>
      <c r="AW170">
        <v>320</v>
      </c>
      <c r="AZ170">
        <v>400</v>
      </c>
      <c r="BA170">
        <v>12</v>
      </c>
      <c r="BD170">
        <v>5.0999999999999996</v>
      </c>
      <c r="BI170">
        <v>0.13</v>
      </c>
    </row>
    <row r="171" spans="1:61" ht="16" x14ac:dyDescent="0.2">
      <c r="A171" s="25" t="s">
        <v>563</v>
      </c>
      <c r="B171" t="s">
        <v>578</v>
      </c>
      <c r="C171" t="s">
        <v>579</v>
      </c>
      <c r="D171" t="s">
        <v>532</v>
      </c>
      <c r="E171" s="1" t="s">
        <v>8</v>
      </c>
      <c r="F171" s="1" t="s">
        <v>140</v>
      </c>
      <c r="G171">
        <v>2937</v>
      </c>
      <c r="H171" t="s">
        <v>155</v>
      </c>
      <c r="K171">
        <v>17</v>
      </c>
      <c r="N171">
        <v>35</v>
      </c>
      <c r="S171">
        <v>2.5</v>
      </c>
      <c r="T171" t="s">
        <v>155</v>
      </c>
      <c r="W171">
        <v>17</v>
      </c>
      <c r="Z171" t="s">
        <v>155</v>
      </c>
      <c r="AC171" t="s">
        <v>155</v>
      </c>
      <c r="AF171" t="s">
        <v>155</v>
      </c>
      <c r="AI171">
        <v>39700</v>
      </c>
      <c r="AL171" t="s">
        <v>155</v>
      </c>
      <c r="AO171" t="s">
        <v>155</v>
      </c>
      <c r="AR171" t="s">
        <v>155</v>
      </c>
      <c r="AU171" t="s">
        <v>155</v>
      </c>
      <c r="AX171" t="s">
        <v>155</v>
      </c>
      <c r="BA171" t="s">
        <v>155</v>
      </c>
      <c r="BD171" t="s">
        <v>155</v>
      </c>
      <c r="BI171">
        <v>0.1</v>
      </c>
    </row>
    <row r="172" spans="1:61" x14ac:dyDescent="0.2">
      <c r="A172" t="s">
        <v>580</v>
      </c>
      <c r="B172" t="s">
        <v>578</v>
      </c>
      <c r="C172" t="s">
        <v>579</v>
      </c>
      <c r="D172" t="s">
        <v>532</v>
      </c>
      <c r="E172" s="1" t="s">
        <v>8</v>
      </c>
      <c r="F172" s="1" t="s">
        <v>141</v>
      </c>
      <c r="G172">
        <v>2938</v>
      </c>
      <c r="H172" t="s">
        <v>155</v>
      </c>
      <c r="K172">
        <v>3</v>
      </c>
      <c r="N172">
        <v>40</v>
      </c>
      <c r="S172">
        <v>2.5</v>
      </c>
      <c r="T172" t="s">
        <v>155</v>
      </c>
      <c r="W172">
        <v>15</v>
      </c>
      <c r="Z172" t="s">
        <v>155</v>
      </c>
      <c r="AC172" t="s">
        <v>155</v>
      </c>
      <c r="AF172" t="s">
        <v>155</v>
      </c>
      <c r="AI172">
        <v>70</v>
      </c>
      <c r="AL172" t="s">
        <v>155</v>
      </c>
      <c r="AO172" t="s">
        <v>155</v>
      </c>
      <c r="AR172" t="s">
        <v>155</v>
      </c>
      <c r="AU172" t="s">
        <v>155</v>
      </c>
      <c r="AX172" t="s">
        <v>155</v>
      </c>
      <c r="BA172" t="s">
        <v>155</v>
      </c>
      <c r="BD172" t="s">
        <v>155</v>
      </c>
      <c r="BI172">
        <v>0.1</v>
      </c>
    </row>
    <row r="173" spans="1:61" x14ac:dyDescent="0.2">
      <c r="A173" t="s">
        <v>580</v>
      </c>
      <c r="B173" t="s">
        <v>578</v>
      </c>
      <c r="C173" t="s">
        <v>579</v>
      </c>
      <c r="D173" t="s">
        <v>532</v>
      </c>
      <c r="E173" s="1" t="s">
        <v>8</v>
      </c>
      <c r="F173" s="1" t="s">
        <v>140</v>
      </c>
      <c r="G173">
        <v>2939</v>
      </c>
      <c r="H173" t="s">
        <v>155</v>
      </c>
      <c r="M173">
        <v>0.5</v>
      </c>
      <c r="P173">
        <v>5</v>
      </c>
      <c r="S173">
        <v>2.5</v>
      </c>
      <c r="T173" t="s">
        <v>155</v>
      </c>
      <c r="W173">
        <v>3.5</v>
      </c>
      <c r="Z173" t="s">
        <v>155</v>
      </c>
      <c r="AC173" t="s">
        <v>155</v>
      </c>
      <c r="AF173" t="s">
        <v>155</v>
      </c>
      <c r="AI173">
        <v>250</v>
      </c>
      <c r="AL173" t="s">
        <v>155</v>
      </c>
      <c r="AO173" t="s">
        <v>155</v>
      </c>
      <c r="AR173" t="s">
        <v>155</v>
      </c>
      <c r="AU173" t="s">
        <v>155</v>
      </c>
      <c r="AX173" t="s">
        <v>155</v>
      </c>
      <c r="BA173" t="s">
        <v>155</v>
      </c>
      <c r="BD173" t="s">
        <v>155</v>
      </c>
      <c r="BI173">
        <v>0.1</v>
      </c>
    </row>
    <row r="174" spans="1:61" x14ac:dyDescent="0.2">
      <c r="A174" t="s">
        <v>580</v>
      </c>
      <c r="B174" t="s">
        <v>578</v>
      </c>
      <c r="C174" t="s">
        <v>579</v>
      </c>
      <c r="D174" t="s">
        <v>532</v>
      </c>
      <c r="E174" s="1" t="s">
        <v>8</v>
      </c>
      <c r="F174" s="1" t="s">
        <v>141</v>
      </c>
      <c r="G174">
        <v>2940</v>
      </c>
      <c r="H174" t="s">
        <v>155</v>
      </c>
      <c r="K174">
        <v>2</v>
      </c>
      <c r="N174">
        <v>39</v>
      </c>
      <c r="S174">
        <v>2.5</v>
      </c>
      <c r="T174" t="s">
        <v>155</v>
      </c>
      <c r="W174">
        <v>18</v>
      </c>
      <c r="Z174" t="s">
        <v>155</v>
      </c>
      <c r="AC174" t="s">
        <v>155</v>
      </c>
      <c r="AF174" t="s">
        <v>155</v>
      </c>
      <c r="AI174">
        <v>30</v>
      </c>
      <c r="AL174" t="s">
        <v>155</v>
      </c>
      <c r="AO174" t="s">
        <v>155</v>
      </c>
      <c r="AR174" t="s">
        <v>155</v>
      </c>
      <c r="AU174" t="s">
        <v>155</v>
      </c>
      <c r="AX174" t="s">
        <v>155</v>
      </c>
      <c r="BA174" t="s">
        <v>155</v>
      </c>
      <c r="BD174" t="s">
        <v>155</v>
      </c>
      <c r="BI174">
        <v>0.1</v>
      </c>
    </row>
    <row r="175" spans="1:61" x14ac:dyDescent="0.2">
      <c r="A175" t="s">
        <v>580</v>
      </c>
      <c r="B175" t="s">
        <v>578</v>
      </c>
      <c r="C175" t="s">
        <v>579</v>
      </c>
      <c r="D175" t="s">
        <v>532</v>
      </c>
      <c r="E175" s="1" t="s">
        <v>8</v>
      </c>
      <c r="F175" s="1" t="s">
        <v>140</v>
      </c>
      <c r="G175" t="s">
        <v>581</v>
      </c>
      <c r="H175" t="s">
        <v>155</v>
      </c>
      <c r="M175">
        <v>1.9</v>
      </c>
      <c r="N175">
        <v>81</v>
      </c>
      <c r="Q175" t="s">
        <v>155</v>
      </c>
      <c r="T175" t="s">
        <v>155</v>
      </c>
      <c r="W175">
        <v>3.8</v>
      </c>
      <c r="Z175" t="s">
        <v>155</v>
      </c>
      <c r="AC175" t="s">
        <v>155</v>
      </c>
      <c r="AF175" t="s">
        <v>155</v>
      </c>
      <c r="AI175">
        <v>120</v>
      </c>
      <c r="AL175" t="s">
        <v>155</v>
      </c>
      <c r="AO175" t="s">
        <v>155</v>
      </c>
      <c r="AR175" t="s">
        <v>155</v>
      </c>
      <c r="AU175" t="s">
        <v>155</v>
      </c>
      <c r="AX175" t="s">
        <v>155</v>
      </c>
      <c r="BA175" t="s">
        <v>155</v>
      </c>
      <c r="BD175" t="s">
        <v>155</v>
      </c>
      <c r="BI175">
        <v>0.1</v>
      </c>
    </row>
    <row r="176" spans="1:61" x14ac:dyDescent="0.2">
      <c r="A176" t="s">
        <v>582</v>
      </c>
      <c r="B176" t="s">
        <v>583</v>
      </c>
      <c r="C176" t="s">
        <v>584</v>
      </c>
      <c r="D176" t="s">
        <v>532</v>
      </c>
      <c r="E176" s="1" t="s">
        <v>8</v>
      </c>
      <c r="F176" s="1" t="s">
        <v>140</v>
      </c>
      <c r="G176">
        <v>2947</v>
      </c>
      <c r="H176" t="s">
        <v>155</v>
      </c>
      <c r="K176">
        <v>3.5</v>
      </c>
      <c r="N176">
        <v>80</v>
      </c>
      <c r="S176">
        <v>2.5</v>
      </c>
      <c r="T176" t="s">
        <v>155</v>
      </c>
      <c r="W176">
        <v>25</v>
      </c>
      <c r="Z176" t="s">
        <v>155</v>
      </c>
      <c r="AC176" t="s">
        <v>155</v>
      </c>
      <c r="AF176" t="s">
        <v>155</v>
      </c>
      <c r="AI176">
        <v>75</v>
      </c>
      <c r="AL176" t="s">
        <v>155</v>
      </c>
      <c r="AO176" t="s">
        <v>155</v>
      </c>
      <c r="AR176" t="s">
        <v>155</v>
      </c>
      <c r="AU176" t="s">
        <v>155</v>
      </c>
      <c r="AX176" t="s">
        <v>155</v>
      </c>
      <c r="BA176" t="s">
        <v>155</v>
      </c>
      <c r="BD176" t="s">
        <v>155</v>
      </c>
      <c r="BI176">
        <v>0.1</v>
      </c>
    </row>
    <row r="177" spans="1:61" x14ac:dyDescent="0.2">
      <c r="A177" t="s">
        <v>582</v>
      </c>
      <c r="B177" t="s">
        <v>583</v>
      </c>
      <c r="C177" t="s">
        <v>584</v>
      </c>
      <c r="D177" t="s">
        <v>532</v>
      </c>
      <c r="E177" s="1" t="s">
        <v>8</v>
      </c>
      <c r="F177" s="1" t="s">
        <v>141</v>
      </c>
      <c r="G177">
        <v>2948</v>
      </c>
      <c r="H177" t="s">
        <v>155</v>
      </c>
      <c r="K177">
        <v>2</v>
      </c>
      <c r="N177">
        <v>11.9</v>
      </c>
      <c r="S177">
        <v>2.5</v>
      </c>
      <c r="T177" t="s">
        <v>155</v>
      </c>
      <c r="W177">
        <v>32</v>
      </c>
      <c r="Z177" t="s">
        <v>155</v>
      </c>
      <c r="AC177" t="s">
        <v>155</v>
      </c>
      <c r="AF177" t="s">
        <v>155</v>
      </c>
      <c r="AI177">
        <v>40</v>
      </c>
      <c r="AL177" t="s">
        <v>155</v>
      </c>
      <c r="AO177" t="s">
        <v>155</v>
      </c>
      <c r="AR177" t="s">
        <v>155</v>
      </c>
      <c r="AU177" t="s">
        <v>155</v>
      </c>
      <c r="AX177" t="s">
        <v>155</v>
      </c>
      <c r="BA177" t="s">
        <v>155</v>
      </c>
      <c r="BD177" t="s">
        <v>155</v>
      </c>
      <c r="BG177">
        <v>0.1</v>
      </c>
    </row>
    <row r="178" spans="1:61" x14ac:dyDescent="0.2">
      <c r="A178" t="s">
        <v>585</v>
      </c>
      <c r="B178" t="s">
        <v>586</v>
      </c>
      <c r="C178" t="s">
        <v>587</v>
      </c>
      <c r="D178" t="s">
        <v>588</v>
      </c>
      <c r="E178" s="1" t="s">
        <v>168</v>
      </c>
      <c r="F178" s="1" t="s">
        <v>140</v>
      </c>
      <c r="G178">
        <v>3148</v>
      </c>
      <c r="H178" t="s">
        <v>155</v>
      </c>
      <c r="M178">
        <v>2</v>
      </c>
      <c r="N178">
        <v>22</v>
      </c>
      <c r="S178">
        <v>15</v>
      </c>
      <c r="T178" t="s">
        <v>155</v>
      </c>
      <c r="Y178">
        <v>37</v>
      </c>
      <c r="Z178" t="s">
        <v>155</v>
      </c>
      <c r="AC178" t="s">
        <v>155</v>
      </c>
      <c r="AF178" t="s">
        <v>155</v>
      </c>
      <c r="AI178">
        <v>28</v>
      </c>
      <c r="AL178" t="s">
        <v>155</v>
      </c>
      <c r="AO178" t="s">
        <v>155</v>
      </c>
      <c r="AR178" t="s">
        <v>155</v>
      </c>
      <c r="AU178" t="s">
        <v>155</v>
      </c>
      <c r="AX178" t="s">
        <v>155</v>
      </c>
      <c r="BA178" t="s">
        <v>155</v>
      </c>
      <c r="BD178" t="s">
        <v>155</v>
      </c>
      <c r="BI178">
        <v>0.08</v>
      </c>
    </row>
    <row r="179" spans="1:61" x14ac:dyDescent="0.2">
      <c r="A179" s="10" t="s">
        <v>589</v>
      </c>
      <c r="B179" s="10" t="s">
        <v>590</v>
      </c>
      <c r="C179" s="10" t="s">
        <v>411</v>
      </c>
      <c r="D179" s="10" t="s">
        <v>280</v>
      </c>
      <c r="E179" s="11" t="s">
        <v>168</v>
      </c>
      <c r="F179" s="11" t="s">
        <v>141</v>
      </c>
      <c r="G179" s="10" t="s">
        <v>591</v>
      </c>
      <c r="H179">
        <v>3200</v>
      </c>
      <c r="K179">
        <v>1.5</v>
      </c>
      <c r="P179">
        <v>6</v>
      </c>
      <c r="S179">
        <v>0.65</v>
      </c>
      <c r="V179">
        <v>270</v>
      </c>
      <c r="W179">
        <v>3.5</v>
      </c>
      <c r="AB179">
        <v>0.87</v>
      </c>
      <c r="AE179">
        <v>4</v>
      </c>
      <c r="AF179">
        <v>1400</v>
      </c>
      <c r="AI179">
        <v>4</v>
      </c>
      <c r="AL179">
        <v>92</v>
      </c>
      <c r="AO179">
        <v>6.6</v>
      </c>
      <c r="AT179">
        <v>1.7</v>
      </c>
      <c r="AW179">
        <v>70</v>
      </c>
      <c r="AZ179">
        <v>240</v>
      </c>
      <c r="BA179">
        <v>4.3</v>
      </c>
      <c r="BF179">
        <v>4</v>
      </c>
      <c r="BI179">
        <v>0.1</v>
      </c>
    </row>
    <row r="180" spans="1:61" x14ac:dyDescent="0.2">
      <c r="A180" s="10" t="s">
        <v>589</v>
      </c>
      <c r="B180" s="10" t="s">
        <v>590</v>
      </c>
      <c r="C180" s="10" t="s">
        <v>411</v>
      </c>
      <c r="D180" s="10" t="s">
        <v>280</v>
      </c>
      <c r="E180" s="11" t="s">
        <v>168</v>
      </c>
      <c r="F180" s="11" t="s">
        <v>140</v>
      </c>
      <c r="G180" s="10" t="s">
        <v>592</v>
      </c>
      <c r="H180">
        <v>8500</v>
      </c>
      <c r="K180">
        <v>5.5</v>
      </c>
      <c r="P180">
        <v>30</v>
      </c>
      <c r="S180">
        <v>0.65</v>
      </c>
      <c r="V180">
        <v>950</v>
      </c>
      <c r="W180">
        <v>11</v>
      </c>
      <c r="AB180">
        <v>2</v>
      </c>
      <c r="AE180">
        <v>10</v>
      </c>
      <c r="AF180">
        <v>5500</v>
      </c>
      <c r="AI180">
        <v>21</v>
      </c>
      <c r="AN180">
        <v>340</v>
      </c>
      <c r="AO180">
        <v>33</v>
      </c>
      <c r="AT180">
        <v>1.7</v>
      </c>
      <c r="AW180">
        <v>210</v>
      </c>
      <c r="AZ180">
        <v>240</v>
      </c>
      <c r="BA180">
        <v>14</v>
      </c>
      <c r="BD180">
        <v>52</v>
      </c>
      <c r="BI180">
        <v>0.1</v>
      </c>
    </row>
    <row r="181" spans="1:61" x14ac:dyDescent="0.2">
      <c r="A181" t="s">
        <v>593</v>
      </c>
      <c r="B181" t="s">
        <v>594</v>
      </c>
      <c r="C181" t="s">
        <v>337</v>
      </c>
      <c r="D181" t="s">
        <v>338</v>
      </c>
      <c r="E181" s="1" t="s">
        <v>8</v>
      </c>
      <c r="F181" s="1" t="s">
        <v>140</v>
      </c>
      <c r="G181">
        <v>15584</v>
      </c>
      <c r="H181" t="s">
        <v>155</v>
      </c>
      <c r="K181">
        <v>6</v>
      </c>
      <c r="N181">
        <v>9.8000000000000007</v>
      </c>
      <c r="S181">
        <v>16</v>
      </c>
      <c r="T181" t="s">
        <v>155</v>
      </c>
      <c r="Y181">
        <v>40</v>
      </c>
      <c r="Z181" t="s">
        <v>155</v>
      </c>
      <c r="AC181" t="s">
        <v>155</v>
      </c>
      <c r="AF181" t="s">
        <v>155</v>
      </c>
      <c r="AK181">
        <v>20</v>
      </c>
      <c r="AL181" t="s">
        <v>155</v>
      </c>
      <c r="AO181" t="s">
        <v>155</v>
      </c>
      <c r="AR181" t="s">
        <v>155</v>
      </c>
      <c r="AU181" t="s">
        <v>155</v>
      </c>
      <c r="AX181" t="s">
        <v>155</v>
      </c>
      <c r="BA181" t="s">
        <v>155</v>
      </c>
      <c r="BD181" t="s">
        <v>155</v>
      </c>
      <c r="BI181">
        <v>0.08</v>
      </c>
    </row>
    <row r="182" spans="1:61" x14ac:dyDescent="0.2">
      <c r="A182" t="s">
        <v>595</v>
      </c>
      <c r="B182" t="s">
        <v>596</v>
      </c>
      <c r="C182" t="s">
        <v>597</v>
      </c>
      <c r="D182" t="s">
        <v>280</v>
      </c>
      <c r="E182" s="1" t="s">
        <v>168</v>
      </c>
      <c r="F182" s="1" t="s">
        <v>140</v>
      </c>
      <c r="G182">
        <v>3738</v>
      </c>
      <c r="H182" t="s">
        <v>155</v>
      </c>
      <c r="M182">
        <v>0.5</v>
      </c>
      <c r="N182">
        <v>14</v>
      </c>
      <c r="S182">
        <v>2.2999999999999998</v>
      </c>
      <c r="T182" t="s">
        <v>155</v>
      </c>
      <c r="W182">
        <v>2.2999999999999998</v>
      </c>
      <c r="Z182" t="s">
        <v>155</v>
      </c>
      <c r="AC182" t="s">
        <v>155</v>
      </c>
      <c r="AF182" t="s">
        <v>155</v>
      </c>
      <c r="AI182">
        <v>14</v>
      </c>
      <c r="AL182" t="s">
        <v>155</v>
      </c>
      <c r="AO182" t="s">
        <v>155</v>
      </c>
      <c r="AR182" t="s">
        <v>155</v>
      </c>
      <c r="AU182" t="s">
        <v>155</v>
      </c>
      <c r="AX182" t="s">
        <v>155</v>
      </c>
      <c r="BA182" t="s">
        <v>155</v>
      </c>
      <c r="BD182" t="s">
        <v>155</v>
      </c>
      <c r="BI182">
        <v>0.1</v>
      </c>
    </row>
    <row r="183" spans="1:61" x14ac:dyDescent="0.2">
      <c r="A183" t="s">
        <v>598</v>
      </c>
      <c r="B183" t="s">
        <v>599</v>
      </c>
      <c r="C183" t="s">
        <v>600</v>
      </c>
      <c r="D183" t="s">
        <v>601</v>
      </c>
      <c r="E183" s="1" t="s">
        <v>168</v>
      </c>
      <c r="F183" s="1" t="s">
        <v>140</v>
      </c>
      <c r="G183">
        <v>3660</v>
      </c>
      <c r="H183" t="s">
        <v>155</v>
      </c>
      <c r="K183">
        <v>1.5</v>
      </c>
      <c r="N183">
        <v>30</v>
      </c>
      <c r="R183">
        <v>2.5</v>
      </c>
      <c r="T183" t="s">
        <v>155</v>
      </c>
      <c r="W183">
        <v>61</v>
      </c>
      <c r="Z183" t="s">
        <v>155</v>
      </c>
      <c r="AC183" t="s">
        <v>155</v>
      </c>
      <c r="AF183" t="s">
        <v>155</v>
      </c>
      <c r="AI183">
        <v>20</v>
      </c>
      <c r="AL183" t="s">
        <v>155</v>
      </c>
      <c r="AO183" t="s">
        <v>155</v>
      </c>
      <c r="AR183">
        <v>8</v>
      </c>
      <c r="AU183" t="s">
        <v>155</v>
      </c>
      <c r="AX183" t="s">
        <v>155</v>
      </c>
      <c r="BA183" t="s">
        <v>155</v>
      </c>
      <c r="BD183">
        <v>30</v>
      </c>
      <c r="BI183">
        <v>0.1</v>
      </c>
    </row>
    <row r="184" spans="1:61" x14ac:dyDescent="0.2">
      <c r="A184" s="10" t="s">
        <v>602</v>
      </c>
      <c r="B184" s="10" t="s">
        <v>603</v>
      </c>
      <c r="C184" s="10" t="s">
        <v>604</v>
      </c>
      <c r="D184" s="10" t="s">
        <v>216</v>
      </c>
      <c r="E184" s="11" t="s">
        <v>8</v>
      </c>
      <c r="F184" s="11" t="s">
        <v>140</v>
      </c>
      <c r="G184" s="10" t="s">
        <v>605</v>
      </c>
      <c r="H184">
        <v>16000</v>
      </c>
      <c r="M184">
        <v>4</v>
      </c>
      <c r="N184">
        <v>56</v>
      </c>
      <c r="S184">
        <v>73</v>
      </c>
      <c r="V184">
        <v>790</v>
      </c>
      <c r="W184">
        <v>22</v>
      </c>
      <c r="AB184">
        <v>5</v>
      </c>
      <c r="AE184">
        <v>50</v>
      </c>
      <c r="AF184">
        <v>35000</v>
      </c>
      <c r="AI184">
        <v>34</v>
      </c>
      <c r="AN184">
        <v>1200</v>
      </c>
      <c r="AO184">
        <v>120</v>
      </c>
      <c r="AR184">
        <v>2.7</v>
      </c>
      <c r="AU184">
        <v>220</v>
      </c>
      <c r="AZ184">
        <v>50</v>
      </c>
      <c r="BA184">
        <v>56</v>
      </c>
      <c r="BD184">
        <v>21</v>
      </c>
    </row>
    <row r="185" spans="1:61" x14ac:dyDescent="0.2">
      <c r="A185" s="10" t="s">
        <v>602</v>
      </c>
      <c r="B185" s="10" t="s">
        <v>603</v>
      </c>
      <c r="C185" s="10" t="s">
        <v>604</v>
      </c>
      <c r="D185" s="10" t="s">
        <v>216</v>
      </c>
      <c r="E185" s="11" t="s">
        <v>8</v>
      </c>
      <c r="F185" s="11" t="s">
        <v>141</v>
      </c>
      <c r="G185" s="10" t="s">
        <v>606</v>
      </c>
      <c r="H185">
        <v>8800</v>
      </c>
      <c r="L185" s="16">
        <f>(3*1.74)</f>
        <v>5.22</v>
      </c>
      <c r="N185">
        <v>20</v>
      </c>
      <c r="S185">
        <v>0.73</v>
      </c>
      <c r="V185">
        <v>310</v>
      </c>
      <c r="W185">
        <v>6</v>
      </c>
      <c r="AB185">
        <v>3</v>
      </c>
      <c r="AE185">
        <v>20</v>
      </c>
      <c r="AF185">
        <v>7700</v>
      </c>
      <c r="AI185">
        <v>8</v>
      </c>
      <c r="AN185">
        <v>230</v>
      </c>
      <c r="AQ185">
        <v>20</v>
      </c>
      <c r="AT185">
        <v>1.2</v>
      </c>
      <c r="AW185">
        <v>110</v>
      </c>
      <c r="AZ185">
        <v>340</v>
      </c>
      <c r="BA185">
        <v>16</v>
      </c>
      <c r="BF185">
        <v>10</v>
      </c>
    </row>
    <row r="186" spans="1:61" x14ac:dyDescent="0.2">
      <c r="A186" s="10" t="s">
        <v>602</v>
      </c>
      <c r="B186" s="10" t="s">
        <v>603</v>
      </c>
      <c r="C186" s="10" t="s">
        <v>604</v>
      </c>
      <c r="D186" s="10" t="s">
        <v>216</v>
      </c>
      <c r="E186" s="11" t="s">
        <v>8</v>
      </c>
      <c r="F186" s="11" t="s">
        <v>153</v>
      </c>
      <c r="G186" s="10" t="s">
        <v>607</v>
      </c>
      <c r="H186">
        <v>1400</v>
      </c>
      <c r="L186" s="16">
        <f>(12*1.74)</f>
        <v>20.88</v>
      </c>
      <c r="N186">
        <v>36</v>
      </c>
      <c r="S186">
        <v>0.78</v>
      </c>
      <c r="V186">
        <v>200</v>
      </c>
      <c r="W186">
        <v>17</v>
      </c>
      <c r="AB186">
        <v>1.3</v>
      </c>
      <c r="AE186">
        <v>30</v>
      </c>
      <c r="AF186">
        <v>28000</v>
      </c>
      <c r="AI186">
        <v>20</v>
      </c>
      <c r="AN186">
        <v>930</v>
      </c>
      <c r="AO186">
        <v>150</v>
      </c>
      <c r="AT186">
        <v>1.3</v>
      </c>
      <c r="AU186">
        <v>520</v>
      </c>
      <c r="AZ186">
        <v>50</v>
      </c>
      <c r="BA186">
        <v>46</v>
      </c>
      <c r="BF186">
        <v>20</v>
      </c>
      <c r="BI186">
        <v>0.12</v>
      </c>
    </row>
    <row r="187" spans="1:61" x14ac:dyDescent="0.2">
      <c r="A187" t="s">
        <v>608</v>
      </c>
      <c r="B187" t="s">
        <v>609</v>
      </c>
      <c r="C187" t="s">
        <v>158</v>
      </c>
      <c r="D187" t="s">
        <v>159</v>
      </c>
      <c r="E187" s="1" t="s">
        <v>8</v>
      </c>
      <c r="F187" s="1" t="s">
        <v>140</v>
      </c>
      <c r="G187" t="s">
        <v>610</v>
      </c>
      <c r="H187" t="s">
        <v>155</v>
      </c>
      <c r="K187">
        <v>2</v>
      </c>
      <c r="N187">
        <v>100</v>
      </c>
      <c r="S187">
        <v>16</v>
      </c>
      <c r="T187" t="s">
        <v>155</v>
      </c>
      <c r="W187">
        <v>43</v>
      </c>
      <c r="Z187" t="s">
        <v>155</v>
      </c>
      <c r="AC187" t="s">
        <v>155</v>
      </c>
      <c r="AF187" t="s">
        <v>155</v>
      </c>
      <c r="AI187">
        <v>84</v>
      </c>
      <c r="AL187" t="s">
        <v>155</v>
      </c>
      <c r="AO187" t="s">
        <v>155</v>
      </c>
      <c r="AR187" t="s">
        <v>155</v>
      </c>
      <c r="AU187" t="s">
        <v>155</v>
      </c>
      <c r="AX187" t="s">
        <v>155</v>
      </c>
      <c r="BA187" t="s">
        <v>155</v>
      </c>
      <c r="BD187" t="s">
        <v>155</v>
      </c>
      <c r="BI187">
        <v>0.12</v>
      </c>
    </row>
    <row r="188" spans="1:61" x14ac:dyDescent="0.2">
      <c r="A188" t="s">
        <v>611</v>
      </c>
      <c r="B188" t="s">
        <v>612</v>
      </c>
      <c r="C188" t="s">
        <v>613</v>
      </c>
      <c r="D188" t="s">
        <v>275</v>
      </c>
      <c r="E188" s="1" t="s">
        <v>168</v>
      </c>
      <c r="F188" s="1" t="s">
        <v>140</v>
      </c>
      <c r="G188" t="s">
        <v>614</v>
      </c>
      <c r="I188" s="16">
        <f>(20000*1.66)</f>
        <v>33200</v>
      </c>
      <c r="K188">
        <v>2.7</v>
      </c>
      <c r="N188">
        <v>120</v>
      </c>
      <c r="S188">
        <v>1</v>
      </c>
      <c r="T188">
        <v>390</v>
      </c>
      <c r="W188">
        <v>15</v>
      </c>
      <c r="Z188">
        <v>14</v>
      </c>
      <c r="AE188">
        <v>30</v>
      </c>
      <c r="AF188">
        <v>35000</v>
      </c>
      <c r="AI188">
        <v>31</v>
      </c>
      <c r="AL188">
        <v>5400</v>
      </c>
      <c r="AO188">
        <v>840</v>
      </c>
      <c r="AR188">
        <v>13</v>
      </c>
      <c r="AU188">
        <v>2600</v>
      </c>
      <c r="AZ188">
        <v>80</v>
      </c>
      <c r="BA188">
        <v>23</v>
      </c>
      <c r="BE188" s="16">
        <f>(46*1.5)</f>
        <v>69</v>
      </c>
      <c r="BI188">
        <v>1</v>
      </c>
    </row>
    <row r="189" spans="1:61" x14ac:dyDescent="0.2">
      <c r="A189" t="s">
        <v>611</v>
      </c>
      <c r="B189" t="s">
        <v>612</v>
      </c>
      <c r="C189" t="s">
        <v>613</v>
      </c>
      <c r="D189" t="s">
        <v>275</v>
      </c>
      <c r="E189" s="1" t="s">
        <v>168</v>
      </c>
      <c r="F189" s="1" t="s">
        <v>141</v>
      </c>
      <c r="G189" t="s">
        <v>615</v>
      </c>
      <c r="I189" s="16">
        <f>(13000*1.66)</f>
        <v>21580</v>
      </c>
      <c r="M189">
        <v>3</v>
      </c>
      <c r="N189">
        <v>71</v>
      </c>
      <c r="S189">
        <v>1</v>
      </c>
      <c r="V189">
        <v>60</v>
      </c>
      <c r="W189">
        <v>19</v>
      </c>
      <c r="AB189">
        <v>2</v>
      </c>
      <c r="AE189">
        <v>20</v>
      </c>
      <c r="AF189">
        <v>39000</v>
      </c>
      <c r="AI189">
        <v>9.9</v>
      </c>
      <c r="AL189">
        <v>2000</v>
      </c>
      <c r="AO189">
        <v>130</v>
      </c>
      <c r="AR189">
        <v>10</v>
      </c>
      <c r="AW189">
        <v>1100</v>
      </c>
      <c r="AX189">
        <v>190</v>
      </c>
      <c r="BA189">
        <v>24</v>
      </c>
      <c r="BE189" s="16">
        <f>(21*1.5)</f>
        <v>31.5</v>
      </c>
      <c r="BI189">
        <v>1</v>
      </c>
    </row>
    <row r="190" spans="1:61" x14ac:dyDescent="0.2">
      <c r="A190" t="s">
        <v>611</v>
      </c>
      <c r="B190" t="s">
        <v>612</v>
      </c>
      <c r="C190" t="s">
        <v>613</v>
      </c>
      <c r="D190" t="s">
        <v>275</v>
      </c>
      <c r="E190" s="1" t="s">
        <v>168</v>
      </c>
      <c r="F190" s="1" t="s">
        <v>153</v>
      </c>
      <c r="G190" t="s">
        <v>616</v>
      </c>
      <c r="I190" s="16">
        <f>(6400*1.66)</f>
        <v>10624</v>
      </c>
      <c r="M190">
        <v>2</v>
      </c>
      <c r="P190">
        <v>60</v>
      </c>
      <c r="S190">
        <v>1</v>
      </c>
      <c r="T190">
        <v>480</v>
      </c>
      <c r="W190">
        <v>18</v>
      </c>
      <c r="AB190">
        <v>7</v>
      </c>
      <c r="AE190">
        <v>30</v>
      </c>
      <c r="AF190">
        <v>15000</v>
      </c>
      <c r="AI190">
        <v>32</v>
      </c>
      <c r="AL190">
        <v>2100</v>
      </c>
      <c r="AO190">
        <v>200</v>
      </c>
      <c r="AR190">
        <v>8</v>
      </c>
      <c r="AU190">
        <v>1800</v>
      </c>
      <c r="AZ190">
        <v>60</v>
      </c>
      <c r="BC190">
        <v>20</v>
      </c>
      <c r="BE190" s="16">
        <f>(60*1.5)</f>
        <v>90</v>
      </c>
      <c r="BI190">
        <v>0.16</v>
      </c>
    </row>
    <row r="191" spans="1:61" x14ac:dyDescent="0.2">
      <c r="A191" t="s">
        <v>617</v>
      </c>
      <c r="B191" t="s">
        <v>618</v>
      </c>
      <c r="C191" t="s">
        <v>291</v>
      </c>
      <c r="D191" t="s">
        <v>292</v>
      </c>
      <c r="E191" s="1" t="s">
        <v>8</v>
      </c>
      <c r="F191" s="1" t="s">
        <v>140</v>
      </c>
      <c r="G191">
        <v>3768</v>
      </c>
      <c r="H191" t="s">
        <v>155</v>
      </c>
      <c r="M191">
        <v>0.5</v>
      </c>
      <c r="N191">
        <v>10</v>
      </c>
      <c r="S191">
        <v>2.5</v>
      </c>
      <c r="T191" t="s">
        <v>155</v>
      </c>
      <c r="W191">
        <v>4.5</v>
      </c>
      <c r="Z191" t="s">
        <v>155</v>
      </c>
      <c r="AC191" t="s">
        <v>155</v>
      </c>
      <c r="AF191" t="s">
        <v>155</v>
      </c>
      <c r="AI191">
        <v>40</v>
      </c>
      <c r="AL191" t="s">
        <v>155</v>
      </c>
      <c r="AO191" t="s">
        <v>155</v>
      </c>
      <c r="AR191" t="s">
        <v>155</v>
      </c>
      <c r="AU191" t="s">
        <v>155</v>
      </c>
      <c r="AX191" t="s">
        <v>155</v>
      </c>
      <c r="BA191" t="s">
        <v>155</v>
      </c>
      <c r="BD191" t="s">
        <v>155</v>
      </c>
      <c r="BI191">
        <v>0.1</v>
      </c>
    </row>
    <row r="192" spans="1:61" x14ac:dyDescent="0.2">
      <c r="A192" t="s">
        <v>619</v>
      </c>
      <c r="B192" t="s">
        <v>620</v>
      </c>
      <c r="C192" t="s">
        <v>621</v>
      </c>
      <c r="D192" t="s">
        <v>622</v>
      </c>
      <c r="E192" s="1" t="s">
        <v>168</v>
      </c>
      <c r="F192" s="1" t="s">
        <v>153</v>
      </c>
      <c r="G192" t="s">
        <v>623</v>
      </c>
      <c r="H192" t="s">
        <v>155</v>
      </c>
      <c r="M192">
        <v>3.9</v>
      </c>
      <c r="N192">
        <v>24</v>
      </c>
      <c r="S192">
        <v>9.8000000000000007</v>
      </c>
      <c r="T192" t="s">
        <v>155</v>
      </c>
      <c r="W192">
        <v>27</v>
      </c>
      <c r="Z192" t="s">
        <v>155</v>
      </c>
      <c r="AE192">
        <v>9.8000000000000007</v>
      </c>
      <c r="AF192" t="s">
        <v>155</v>
      </c>
      <c r="AK192">
        <v>9.8000000000000007</v>
      </c>
      <c r="AL192" t="s">
        <v>155</v>
      </c>
      <c r="AO192">
        <v>150</v>
      </c>
      <c r="AR192" t="s">
        <v>155</v>
      </c>
      <c r="AU192" t="s">
        <v>155</v>
      </c>
      <c r="AX192" t="s">
        <v>155</v>
      </c>
      <c r="BA192" t="s">
        <v>155</v>
      </c>
      <c r="BD192">
        <v>20</v>
      </c>
      <c r="BI192">
        <v>0.09</v>
      </c>
    </row>
    <row r="193" spans="1:61" x14ac:dyDescent="0.2">
      <c r="A193" t="s">
        <v>624</v>
      </c>
      <c r="B193" t="s">
        <v>625</v>
      </c>
      <c r="C193" t="s">
        <v>626</v>
      </c>
      <c r="D193" t="s">
        <v>627</v>
      </c>
      <c r="E193" s="1" t="s">
        <v>8</v>
      </c>
      <c r="F193" s="1" t="s">
        <v>153</v>
      </c>
      <c r="G193" t="s">
        <v>628</v>
      </c>
      <c r="H193" t="s">
        <v>155</v>
      </c>
      <c r="M193">
        <v>1</v>
      </c>
      <c r="N193">
        <v>12.5</v>
      </c>
      <c r="S193">
        <v>1</v>
      </c>
      <c r="T193" t="s">
        <v>155</v>
      </c>
      <c r="W193">
        <v>3.5</v>
      </c>
      <c r="Z193" t="s">
        <v>155</v>
      </c>
      <c r="AC193">
        <v>3.5</v>
      </c>
      <c r="AF193" t="s">
        <v>155</v>
      </c>
      <c r="AI193">
        <v>4</v>
      </c>
      <c r="AL193" t="s">
        <v>155</v>
      </c>
      <c r="AO193">
        <v>43</v>
      </c>
      <c r="AR193">
        <v>2</v>
      </c>
      <c r="AU193" t="s">
        <v>155</v>
      </c>
      <c r="AX193" t="s">
        <v>155</v>
      </c>
      <c r="BA193" t="s">
        <v>155</v>
      </c>
      <c r="BD193">
        <v>15</v>
      </c>
      <c r="BI193">
        <v>0.05</v>
      </c>
    </row>
    <row r="194" spans="1:61" x14ac:dyDescent="0.2">
      <c r="A194" t="s">
        <v>624</v>
      </c>
      <c r="B194" t="s">
        <v>625</v>
      </c>
      <c r="C194" t="s">
        <v>626</v>
      </c>
      <c r="D194" t="s">
        <v>627</v>
      </c>
      <c r="E194" s="1" t="s">
        <v>8</v>
      </c>
      <c r="F194" s="1" t="s">
        <v>153</v>
      </c>
      <c r="G194" t="s">
        <v>629</v>
      </c>
      <c r="H194" t="s">
        <v>155</v>
      </c>
      <c r="M194">
        <v>1</v>
      </c>
      <c r="N194">
        <v>20</v>
      </c>
      <c r="S194">
        <v>1</v>
      </c>
      <c r="T194" t="s">
        <v>155</v>
      </c>
      <c r="W194">
        <v>4.5</v>
      </c>
      <c r="Z194" t="s">
        <v>155</v>
      </c>
      <c r="AC194">
        <v>4.5</v>
      </c>
      <c r="AF194" t="s">
        <v>155</v>
      </c>
      <c r="AI194">
        <v>4.5</v>
      </c>
      <c r="AL194" t="s">
        <v>155</v>
      </c>
      <c r="AO194">
        <v>94</v>
      </c>
      <c r="AR194">
        <v>2.5</v>
      </c>
      <c r="AU194" t="s">
        <v>155</v>
      </c>
      <c r="AX194" t="s">
        <v>155</v>
      </c>
      <c r="BA194" t="s">
        <v>155</v>
      </c>
      <c r="BD194">
        <v>23</v>
      </c>
      <c r="BI194">
        <v>0.05</v>
      </c>
    </row>
    <row r="195" spans="1:61" x14ac:dyDescent="0.2">
      <c r="A195" t="s">
        <v>630</v>
      </c>
      <c r="B195" t="s">
        <v>631</v>
      </c>
      <c r="C195" t="s">
        <v>632</v>
      </c>
      <c r="D195" t="s">
        <v>406</v>
      </c>
      <c r="E195" s="1" t="s">
        <v>8</v>
      </c>
      <c r="F195" s="1" t="s">
        <v>140</v>
      </c>
      <c r="G195">
        <v>15576</v>
      </c>
      <c r="H195" t="s">
        <v>155</v>
      </c>
      <c r="M195">
        <v>2</v>
      </c>
      <c r="N195">
        <v>13</v>
      </c>
      <c r="S195">
        <v>15</v>
      </c>
      <c r="T195" t="s">
        <v>155</v>
      </c>
      <c r="Y195">
        <v>37</v>
      </c>
      <c r="Z195" t="s">
        <v>155</v>
      </c>
      <c r="AC195" t="s">
        <v>155</v>
      </c>
      <c r="AF195" t="s">
        <v>155</v>
      </c>
      <c r="AI195">
        <v>19</v>
      </c>
      <c r="AL195" t="s">
        <v>155</v>
      </c>
      <c r="AO195" t="s">
        <v>155</v>
      </c>
      <c r="AR195" t="s">
        <v>155</v>
      </c>
      <c r="AU195" t="s">
        <v>155</v>
      </c>
      <c r="AX195" t="s">
        <v>155</v>
      </c>
      <c r="BA195" t="s">
        <v>155</v>
      </c>
      <c r="BD195" t="s">
        <v>155</v>
      </c>
      <c r="BI195">
        <v>0.1</v>
      </c>
    </row>
    <row r="196" spans="1:61" x14ac:dyDescent="0.2">
      <c r="A196" t="s">
        <v>633</v>
      </c>
      <c r="B196" t="s">
        <v>634</v>
      </c>
      <c r="C196" t="s">
        <v>635</v>
      </c>
      <c r="D196" t="s">
        <v>636</v>
      </c>
      <c r="F196" s="1" t="s">
        <v>140</v>
      </c>
      <c r="G196">
        <v>3697</v>
      </c>
      <c r="H196" t="s">
        <v>155</v>
      </c>
      <c r="K196">
        <v>4.5</v>
      </c>
      <c r="N196">
        <v>5</v>
      </c>
      <c r="S196">
        <v>2.5</v>
      </c>
      <c r="T196" t="s">
        <v>155</v>
      </c>
      <c r="W196">
        <v>32</v>
      </c>
      <c r="Z196" t="s">
        <v>155</v>
      </c>
      <c r="AC196" t="s">
        <v>155</v>
      </c>
      <c r="AF196" t="s">
        <v>155</v>
      </c>
      <c r="AI196">
        <v>25</v>
      </c>
      <c r="AL196" t="s">
        <v>155</v>
      </c>
      <c r="AO196" t="s">
        <v>155</v>
      </c>
      <c r="AR196" t="s">
        <v>155</v>
      </c>
      <c r="AU196" t="s">
        <v>155</v>
      </c>
      <c r="AX196" t="s">
        <v>155</v>
      </c>
      <c r="BA196" t="s">
        <v>155</v>
      </c>
      <c r="BD196" t="s">
        <v>155</v>
      </c>
      <c r="BI196">
        <v>0.1</v>
      </c>
    </row>
    <row r="197" spans="1:61" x14ac:dyDescent="0.2">
      <c r="A197" t="s">
        <v>637</v>
      </c>
      <c r="B197" t="s">
        <v>609</v>
      </c>
      <c r="C197" t="s">
        <v>291</v>
      </c>
      <c r="D197" t="s">
        <v>638</v>
      </c>
      <c r="E197" s="1" t="s">
        <v>168</v>
      </c>
      <c r="F197" s="1" t="s">
        <v>140</v>
      </c>
      <c r="G197" t="s">
        <v>639</v>
      </c>
      <c r="I197" s="16">
        <f>(2000*1.66)</f>
        <v>3320</v>
      </c>
      <c r="M197">
        <v>0.57999999999999996</v>
      </c>
      <c r="N197" t="s">
        <v>155</v>
      </c>
      <c r="S197">
        <v>0.76</v>
      </c>
      <c r="U197" s="16">
        <f>(360*1.28)</f>
        <v>460.8</v>
      </c>
      <c r="Y197">
        <v>3</v>
      </c>
      <c r="Z197">
        <v>1.2</v>
      </c>
      <c r="AE197">
        <v>0.6</v>
      </c>
      <c r="AG197" s="16">
        <f>(1400*1.34)</f>
        <v>1876</v>
      </c>
      <c r="AI197">
        <v>3.6</v>
      </c>
      <c r="AN197">
        <v>70</v>
      </c>
      <c r="AO197">
        <v>4.0999999999999996</v>
      </c>
      <c r="AT197">
        <v>2.9</v>
      </c>
      <c r="AU197">
        <v>170</v>
      </c>
      <c r="AZ197">
        <v>30</v>
      </c>
      <c r="BC197">
        <v>5</v>
      </c>
      <c r="BF197">
        <v>4</v>
      </c>
      <c r="BI197">
        <v>0.1</v>
      </c>
    </row>
    <row r="198" spans="1:61" x14ac:dyDescent="0.2">
      <c r="A198" s="10" t="s">
        <v>637</v>
      </c>
      <c r="B198" s="10" t="s">
        <v>609</v>
      </c>
      <c r="C198" s="10" t="s">
        <v>291</v>
      </c>
      <c r="D198" s="10" t="s">
        <v>638</v>
      </c>
      <c r="E198" s="11" t="s">
        <v>168</v>
      </c>
      <c r="F198" s="11" t="s">
        <v>141</v>
      </c>
      <c r="G198" s="10" t="s">
        <v>640</v>
      </c>
      <c r="I198" s="16">
        <f>(1500*1.66)</f>
        <v>2490</v>
      </c>
      <c r="M198">
        <v>0.57999999999999996</v>
      </c>
      <c r="P198">
        <v>2.5</v>
      </c>
      <c r="S198">
        <v>0.65</v>
      </c>
      <c r="U198" s="16">
        <f>(40*1.28)</f>
        <v>51.2</v>
      </c>
      <c r="Y198">
        <v>2</v>
      </c>
      <c r="AB198">
        <v>0.79</v>
      </c>
      <c r="AE198">
        <v>0.6</v>
      </c>
      <c r="AG198" s="16">
        <f>(880*1.34)</f>
        <v>1179.2</v>
      </c>
      <c r="AI198">
        <v>1.2</v>
      </c>
      <c r="AN198">
        <v>50</v>
      </c>
      <c r="AO198">
        <v>4.0999999999999996</v>
      </c>
      <c r="AT198">
        <v>2.9</v>
      </c>
      <c r="AW198">
        <v>80</v>
      </c>
      <c r="AZ198">
        <v>30</v>
      </c>
      <c r="BC198">
        <v>3</v>
      </c>
      <c r="BF198">
        <v>3</v>
      </c>
      <c r="BI198">
        <v>0.1</v>
      </c>
    </row>
    <row r="199" spans="1:61" x14ac:dyDescent="0.2">
      <c r="A199" s="10" t="s">
        <v>641</v>
      </c>
      <c r="B199" s="10" t="s">
        <v>642</v>
      </c>
      <c r="C199" s="10" t="s">
        <v>478</v>
      </c>
      <c r="D199" s="10" t="s">
        <v>479</v>
      </c>
      <c r="E199" s="11" t="s">
        <v>168</v>
      </c>
      <c r="F199" s="11" t="s">
        <v>141</v>
      </c>
      <c r="G199" s="10" t="s">
        <v>640</v>
      </c>
      <c r="H199">
        <v>37000</v>
      </c>
      <c r="L199" s="16">
        <f>(3.7*1.74)</f>
        <v>6.4380000000000006</v>
      </c>
      <c r="N199">
        <v>47</v>
      </c>
      <c r="Q199">
        <v>2.2999999999999998</v>
      </c>
      <c r="T199">
        <v>120</v>
      </c>
      <c r="W199">
        <v>27</v>
      </c>
      <c r="Z199">
        <v>7.2</v>
      </c>
      <c r="AE199">
        <v>1.7</v>
      </c>
      <c r="AF199">
        <v>25000</v>
      </c>
      <c r="AK199">
        <v>30</v>
      </c>
      <c r="AL199">
        <v>2000</v>
      </c>
      <c r="AO199">
        <v>78</v>
      </c>
      <c r="AR199">
        <v>7.7</v>
      </c>
      <c r="AU199">
        <v>17000</v>
      </c>
      <c r="AZ199">
        <v>70</v>
      </c>
      <c r="BA199">
        <v>54</v>
      </c>
      <c r="BD199">
        <v>47</v>
      </c>
      <c r="BI199">
        <v>0.1</v>
      </c>
    </row>
    <row r="200" spans="1:61" x14ac:dyDescent="0.2">
      <c r="A200" s="10" t="s">
        <v>641</v>
      </c>
      <c r="B200" s="10" t="s">
        <v>642</v>
      </c>
      <c r="C200" s="10" t="s">
        <v>643</v>
      </c>
      <c r="D200" s="10" t="s">
        <v>479</v>
      </c>
      <c r="E200" s="11" t="s">
        <v>168</v>
      </c>
      <c r="F200" s="11" t="s">
        <v>153</v>
      </c>
      <c r="G200" s="10" t="s">
        <v>644</v>
      </c>
      <c r="H200">
        <v>16000</v>
      </c>
      <c r="M200">
        <v>2</v>
      </c>
      <c r="N200">
        <v>120</v>
      </c>
      <c r="S200">
        <v>1.8</v>
      </c>
      <c r="T200">
        <v>1100</v>
      </c>
      <c r="W200">
        <v>27</v>
      </c>
      <c r="Z200">
        <v>16</v>
      </c>
      <c r="AC200">
        <v>29</v>
      </c>
      <c r="AF200">
        <v>28000</v>
      </c>
      <c r="AJ200" s="16">
        <f>(19*1.44)</f>
        <v>27.36</v>
      </c>
      <c r="AL200">
        <v>3800</v>
      </c>
      <c r="AP200" s="16">
        <f>(340*1.24)</f>
        <v>421.6</v>
      </c>
      <c r="AT200">
        <v>20</v>
      </c>
      <c r="AU200">
        <v>4500</v>
      </c>
      <c r="AZ200">
        <v>70</v>
      </c>
      <c r="BA200">
        <v>47</v>
      </c>
      <c r="BD200">
        <v>83</v>
      </c>
      <c r="BI200">
        <v>0.1</v>
      </c>
    </row>
    <row r="201" spans="1:61" x14ac:dyDescent="0.2">
      <c r="A201" t="s">
        <v>645</v>
      </c>
      <c r="B201" t="s">
        <v>646</v>
      </c>
      <c r="C201" t="s">
        <v>647</v>
      </c>
      <c r="D201" t="s">
        <v>275</v>
      </c>
      <c r="E201" s="1" t="s">
        <v>8</v>
      </c>
      <c r="F201" s="1" t="s">
        <v>140</v>
      </c>
      <c r="G201">
        <v>3699</v>
      </c>
      <c r="H201" t="s">
        <v>155</v>
      </c>
      <c r="M201">
        <v>2.5</v>
      </c>
      <c r="N201">
        <v>98</v>
      </c>
      <c r="Q201">
        <v>5</v>
      </c>
      <c r="T201" t="s">
        <v>155</v>
      </c>
      <c r="W201">
        <v>24</v>
      </c>
      <c r="Z201" t="s">
        <v>155</v>
      </c>
      <c r="AC201" t="s">
        <v>155</v>
      </c>
      <c r="AF201" t="s">
        <v>155</v>
      </c>
      <c r="AI201">
        <v>27</v>
      </c>
      <c r="AL201" t="s">
        <v>155</v>
      </c>
      <c r="AO201" t="s">
        <v>155</v>
      </c>
      <c r="AR201" t="s">
        <v>155</v>
      </c>
      <c r="AU201" t="s">
        <v>155</v>
      </c>
      <c r="AX201" t="s">
        <v>155</v>
      </c>
      <c r="BA201" t="s">
        <v>155</v>
      </c>
      <c r="BD201" t="s">
        <v>155</v>
      </c>
      <c r="BI201">
        <v>0.1</v>
      </c>
    </row>
    <row r="202" spans="1:61" x14ac:dyDescent="0.2">
      <c r="A202" t="s">
        <v>648</v>
      </c>
      <c r="B202" t="s">
        <v>649</v>
      </c>
      <c r="C202" t="s">
        <v>584</v>
      </c>
      <c r="D202" t="s">
        <v>532</v>
      </c>
      <c r="E202" s="1" t="s">
        <v>8</v>
      </c>
      <c r="F202" s="1" t="s">
        <v>140</v>
      </c>
      <c r="G202" t="s">
        <v>650</v>
      </c>
      <c r="H202">
        <v>16000</v>
      </c>
      <c r="K202" t="s">
        <v>155</v>
      </c>
      <c r="N202">
        <v>110</v>
      </c>
      <c r="S202">
        <v>1.1000000000000001</v>
      </c>
      <c r="T202">
        <v>1500</v>
      </c>
      <c r="X202" s="16">
        <f>(42*1.29)</f>
        <v>54.18</v>
      </c>
      <c r="Z202">
        <v>17</v>
      </c>
      <c r="AD202" s="16">
        <f>(38*1.22)</f>
        <v>46.36</v>
      </c>
      <c r="AF202">
        <v>42000</v>
      </c>
      <c r="AI202">
        <v>30</v>
      </c>
      <c r="AL202">
        <v>960</v>
      </c>
      <c r="AP202" s="16">
        <f>(620*1.24)</f>
        <v>768.8</v>
      </c>
      <c r="AT202">
        <v>7.7</v>
      </c>
      <c r="AU202">
        <v>620</v>
      </c>
      <c r="AZ202">
        <v>30</v>
      </c>
      <c r="BB202" s="16">
        <f>(140*1.34)</f>
        <v>187.60000000000002</v>
      </c>
      <c r="BE202" s="16">
        <f>(540*1.5)</f>
        <v>810</v>
      </c>
      <c r="BI202">
        <v>0.15</v>
      </c>
    </row>
    <row r="203" spans="1:61" x14ac:dyDescent="0.2">
      <c r="A203" t="s">
        <v>648</v>
      </c>
      <c r="B203" t="s">
        <v>651</v>
      </c>
      <c r="C203" t="s">
        <v>584</v>
      </c>
      <c r="D203" t="s">
        <v>532</v>
      </c>
      <c r="E203" s="1" t="s">
        <v>8</v>
      </c>
      <c r="F203" s="1" t="s">
        <v>153</v>
      </c>
      <c r="G203" t="s">
        <v>652</v>
      </c>
      <c r="H203">
        <v>20000</v>
      </c>
      <c r="M203">
        <v>1</v>
      </c>
      <c r="N203">
        <v>16</v>
      </c>
      <c r="S203">
        <v>1.2</v>
      </c>
      <c r="T203">
        <v>920</v>
      </c>
      <c r="X203" s="16">
        <f>(110*1.29)</f>
        <v>141.9</v>
      </c>
      <c r="Z203">
        <v>8.8000000000000007</v>
      </c>
      <c r="AD203" s="16">
        <f>(72*1.22)</f>
        <v>87.84</v>
      </c>
      <c r="AF203">
        <v>71000</v>
      </c>
      <c r="AI203">
        <v>6.2</v>
      </c>
      <c r="AL203">
        <v>630</v>
      </c>
      <c r="AP203" s="16">
        <f>(120*1.24)</f>
        <v>148.80000000000001</v>
      </c>
      <c r="AT203">
        <v>7.9</v>
      </c>
      <c r="AU203">
        <v>260</v>
      </c>
      <c r="AX203">
        <v>52</v>
      </c>
      <c r="BB203" s="16">
        <f>(230*1.34)</f>
        <v>308.20000000000005</v>
      </c>
      <c r="BE203" s="16">
        <f>(31*1.5)</f>
        <v>46.5</v>
      </c>
      <c r="BI203">
        <v>0.14000000000000001</v>
      </c>
    </row>
    <row r="204" spans="1:61" x14ac:dyDescent="0.2">
      <c r="A204" t="s">
        <v>653</v>
      </c>
      <c r="B204" t="s">
        <v>654</v>
      </c>
      <c r="C204" t="s">
        <v>655</v>
      </c>
      <c r="D204" t="s">
        <v>343</v>
      </c>
      <c r="E204" s="1" t="s">
        <v>168</v>
      </c>
      <c r="F204" s="1" t="s">
        <v>140</v>
      </c>
      <c r="G204" t="s">
        <v>656</v>
      </c>
      <c r="H204" t="s">
        <v>155</v>
      </c>
      <c r="M204">
        <v>1.9</v>
      </c>
      <c r="N204">
        <v>5.9</v>
      </c>
      <c r="S204">
        <v>9.8000000000000007</v>
      </c>
      <c r="T204" t="s">
        <v>155</v>
      </c>
      <c r="Y204">
        <v>9.8000000000000007</v>
      </c>
      <c r="Z204" t="s">
        <v>155</v>
      </c>
      <c r="AC204" t="s">
        <v>155</v>
      </c>
      <c r="AF204" t="s">
        <v>155</v>
      </c>
      <c r="AK204">
        <v>20</v>
      </c>
      <c r="AL204" t="s">
        <v>155</v>
      </c>
      <c r="AO204" t="s">
        <v>155</v>
      </c>
      <c r="AR204" t="s">
        <v>155</v>
      </c>
      <c r="AU204" t="s">
        <v>155</v>
      </c>
      <c r="AX204" t="s">
        <v>155</v>
      </c>
      <c r="BA204" t="s">
        <v>155</v>
      </c>
      <c r="BF204">
        <v>9.8000000000000007</v>
      </c>
      <c r="BI204">
        <v>0.1</v>
      </c>
    </row>
    <row r="205" spans="1:61" x14ac:dyDescent="0.2">
      <c r="A205" t="s">
        <v>653</v>
      </c>
      <c r="B205" t="s">
        <v>654</v>
      </c>
      <c r="C205" t="s">
        <v>655</v>
      </c>
      <c r="D205" t="s">
        <v>343</v>
      </c>
      <c r="E205" s="1" t="s">
        <v>168</v>
      </c>
      <c r="F205" s="1" t="s">
        <v>141</v>
      </c>
      <c r="G205" t="s">
        <v>657</v>
      </c>
      <c r="M205">
        <v>1.9</v>
      </c>
      <c r="N205">
        <v>3.9</v>
      </c>
      <c r="S205">
        <v>9.8000000000000007</v>
      </c>
      <c r="T205" t="s">
        <v>155</v>
      </c>
      <c r="Y205">
        <v>9.8000000000000007</v>
      </c>
      <c r="Z205" t="s">
        <v>155</v>
      </c>
      <c r="AC205" t="s">
        <v>155</v>
      </c>
      <c r="AF205" t="s">
        <v>155</v>
      </c>
      <c r="AK205">
        <v>20</v>
      </c>
      <c r="AL205" t="s">
        <v>155</v>
      </c>
      <c r="AO205" t="s">
        <v>155</v>
      </c>
      <c r="AR205" t="s">
        <v>155</v>
      </c>
      <c r="AU205" t="s">
        <v>155</v>
      </c>
      <c r="AX205" t="s">
        <v>155</v>
      </c>
      <c r="BA205" t="s">
        <v>155</v>
      </c>
      <c r="BF205">
        <v>9.8000000000000007</v>
      </c>
      <c r="BI205">
        <v>0.09</v>
      </c>
    </row>
    <row r="206" spans="1:61" x14ac:dyDescent="0.2">
      <c r="A206" t="s">
        <v>658</v>
      </c>
      <c r="B206" t="s">
        <v>659</v>
      </c>
      <c r="C206" t="s">
        <v>660</v>
      </c>
      <c r="D206" t="s">
        <v>661</v>
      </c>
      <c r="E206" s="1" t="s">
        <v>8</v>
      </c>
      <c r="F206" s="1" t="s">
        <v>140</v>
      </c>
      <c r="G206" t="s">
        <v>662</v>
      </c>
      <c r="H206">
        <v>26000</v>
      </c>
      <c r="K206" t="s">
        <v>155</v>
      </c>
      <c r="N206">
        <v>130</v>
      </c>
      <c r="Q206" t="s">
        <v>155</v>
      </c>
      <c r="T206">
        <v>10000</v>
      </c>
      <c r="W206">
        <v>53</v>
      </c>
      <c r="Z206">
        <v>22</v>
      </c>
      <c r="AC206">
        <v>54</v>
      </c>
      <c r="AF206">
        <v>34000</v>
      </c>
      <c r="AI206">
        <v>20</v>
      </c>
      <c r="AL206">
        <v>11000</v>
      </c>
      <c r="AO206">
        <v>570</v>
      </c>
      <c r="AR206">
        <v>30</v>
      </c>
      <c r="AU206" t="s">
        <v>155</v>
      </c>
      <c r="AX206" t="s">
        <v>155</v>
      </c>
      <c r="BA206">
        <v>92</v>
      </c>
      <c r="BD206">
        <v>77</v>
      </c>
      <c r="BG206" t="s">
        <v>155</v>
      </c>
    </row>
    <row r="207" spans="1:61" x14ac:dyDescent="0.2">
      <c r="A207" t="s">
        <v>658</v>
      </c>
      <c r="B207" t="s">
        <v>659</v>
      </c>
      <c r="C207" t="s">
        <v>660</v>
      </c>
      <c r="D207" t="s">
        <v>661</v>
      </c>
      <c r="E207" s="1" t="s">
        <v>8</v>
      </c>
      <c r="F207" s="1" t="s">
        <v>141</v>
      </c>
      <c r="G207" t="s">
        <v>663</v>
      </c>
      <c r="H207">
        <v>21000</v>
      </c>
      <c r="K207" t="s">
        <v>155</v>
      </c>
      <c r="N207">
        <v>180</v>
      </c>
      <c r="Q207" t="s">
        <v>155</v>
      </c>
      <c r="T207">
        <v>9300</v>
      </c>
      <c r="W207">
        <v>39</v>
      </c>
      <c r="Z207">
        <v>17</v>
      </c>
      <c r="AC207">
        <v>58</v>
      </c>
      <c r="AF207">
        <v>25000</v>
      </c>
      <c r="AI207" t="s">
        <v>155</v>
      </c>
      <c r="AL207">
        <v>9500</v>
      </c>
      <c r="AO207">
        <v>550</v>
      </c>
      <c r="AR207">
        <v>19</v>
      </c>
      <c r="AU207">
        <v>1500</v>
      </c>
      <c r="AX207" t="s">
        <v>155</v>
      </c>
      <c r="BA207">
        <v>66</v>
      </c>
      <c r="BD207">
        <v>53</v>
      </c>
      <c r="BG207">
        <v>0.1</v>
      </c>
    </row>
    <row r="208" spans="1:61" x14ac:dyDescent="0.2">
      <c r="A208" s="10" t="s">
        <v>664</v>
      </c>
      <c r="B208" s="10" t="s">
        <v>665</v>
      </c>
      <c r="C208" s="10" t="s">
        <v>666</v>
      </c>
      <c r="D208" s="10" t="s">
        <v>667</v>
      </c>
      <c r="E208" s="11" t="s">
        <v>8</v>
      </c>
      <c r="F208" s="11" t="s">
        <v>140</v>
      </c>
      <c r="G208" s="10" t="s">
        <v>662</v>
      </c>
      <c r="H208">
        <v>12000</v>
      </c>
      <c r="K208">
        <v>7.3</v>
      </c>
      <c r="N208">
        <v>38</v>
      </c>
      <c r="S208">
        <v>1</v>
      </c>
      <c r="T208">
        <v>820</v>
      </c>
      <c r="W208">
        <v>28</v>
      </c>
      <c r="Z208">
        <v>2.5</v>
      </c>
      <c r="AD208">
        <v>11</v>
      </c>
      <c r="AF208">
        <v>17000</v>
      </c>
      <c r="AJ208" s="16">
        <f>(39*1.44)</f>
        <v>56.16</v>
      </c>
      <c r="AL208">
        <v>310</v>
      </c>
      <c r="AO208">
        <v>150</v>
      </c>
      <c r="AT208">
        <v>2.5</v>
      </c>
      <c r="AW208">
        <v>310</v>
      </c>
      <c r="AZ208">
        <v>180</v>
      </c>
      <c r="BA208">
        <v>38</v>
      </c>
      <c r="BF208">
        <v>38</v>
      </c>
      <c r="BI208">
        <v>0.05</v>
      </c>
    </row>
    <row r="209" spans="1:61" x14ac:dyDescent="0.2">
      <c r="A209" s="10" t="s">
        <v>664</v>
      </c>
      <c r="B209" s="10" t="s">
        <v>665</v>
      </c>
      <c r="C209" s="10" t="s">
        <v>666</v>
      </c>
      <c r="D209" s="10" t="s">
        <v>667</v>
      </c>
      <c r="E209" s="11" t="s">
        <v>8</v>
      </c>
      <c r="F209" s="11" t="s">
        <v>141</v>
      </c>
      <c r="G209" s="10" t="s">
        <v>663</v>
      </c>
      <c r="H209">
        <v>70000</v>
      </c>
      <c r="K209">
        <v>21</v>
      </c>
      <c r="N209">
        <v>37</v>
      </c>
      <c r="Q209">
        <v>3.9</v>
      </c>
      <c r="V209">
        <v>800</v>
      </c>
      <c r="W209">
        <v>71</v>
      </c>
      <c r="Z209">
        <v>2.2000000000000002</v>
      </c>
      <c r="AD209">
        <v>23</v>
      </c>
      <c r="AF209">
        <v>69000</v>
      </c>
      <c r="AJ209" s="16">
        <f>(45*1.44)</f>
        <v>64.8</v>
      </c>
      <c r="AL209">
        <v>400</v>
      </c>
      <c r="AO209">
        <v>56</v>
      </c>
      <c r="AR209">
        <v>4.9000000000000004</v>
      </c>
      <c r="AW209">
        <v>330</v>
      </c>
      <c r="AZ209">
        <v>180</v>
      </c>
      <c r="BA209">
        <v>170</v>
      </c>
      <c r="BF209">
        <v>30</v>
      </c>
      <c r="BI209">
        <v>0.2</v>
      </c>
    </row>
    <row r="210" spans="1:61" x14ac:dyDescent="0.2">
      <c r="A210" s="10" t="s">
        <v>664</v>
      </c>
      <c r="B210" s="10" t="s">
        <v>665</v>
      </c>
      <c r="C210" s="10" t="s">
        <v>666</v>
      </c>
      <c r="D210" s="10" t="s">
        <v>667</v>
      </c>
      <c r="E210" s="11" t="s">
        <v>8</v>
      </c>
      <c r="F210" s="11" t="s">
        <v>153</v>
      </c>
      <c r="G210" s="10" t="s">
        <v>668</v>
      </c>
      <c r="H210">
        <v>4400</v>
      </c>
      <c r="K210">
        <v>2.2999999999999998</v>
      </c>
      <c r="N210">
        <v>30</v>
      </c>
      <c r="S210">
        <v>0.5</v>
      </c>
      <c r="V210">
        <v>170</v>
      </c>
      <c r="W210">
        <v>9.6</v>
      </c>
      <c r="Z210">
        <v>2.9</v>
      </c>
      <c r="AD210">
        <v>1</v>
      </c>
      <c r="AF210">
        <v>6700</v>
      </c>
      <c r="AJ210" s="16">
        <f>(8.6*1.44)</f>
        <v>12.383999999999999</v>
      </c>
      <c r="AL210">
        <v>580</v>
      </c>
      <c r="AO210">
        <v>26</v>
      </c>
      <c r="AR210">
        <v>2.5</v>
      </c>
      <c r="AU210">
        <v>820</v>
      </c>
      <c r="AZ210">
        <v>130</v>
      </c>
      <c r="BA210">
        <v>18</v>
      </c>
      <c r="BF210">
        <v>18</v>
      </c>
      <c r="BI210">
        <v>0.2</v>
      </c>
    </row>
    <row r="211" spans="1:61" x14ac:dyDescent="0.2">
      <c r="A211" t="s">
        <v>669</v>
      </c>
      <c r="B211" t="s">
        <v>670</v>
      </c>
      <c r="C211" t="s">
        <v>411</v>
      </c>
      <c r="D211" t="s">
        <v>280</v>
      </c>
      <c r="E211" s="1" t="s">
        <v>8</v>
      </c>
      <c r="F211" s="1" t="s">
        <v>140</v>
      </c>
      <c r="G211" t="s">
        <v>671</v>
      </c>
      <c r="H211">
        <v>9300</v>
      </c>
      <c r="M211">
        <v>1</v>
      </c>
      <c r="P211">
        <v>20</v>
      </c>
      <c r="S211">
        <v>0.71</v>
      </c>
      <c r="V211">
        <v>280</v>
      </c>
      <c r="W211">
        <v>8.1</v>
      </c>
      <c r="AB211">
        <v>1.9</v>
      </c>
      <c r="AE211">
        <v>8</v>
      </c>
      <c r="AF211">
        <v>6900</v>
      </c>
      <c r="AJ211" s="16">
        <f>(9.1*1.44)</f>
        <v>13.103999999999999</v>
      </c>
      <c r="AN211">
        <v>190</v>
      </c>
      <c r="AO211">
        <v>5.6</v>
      </c>
      <c r="AT211">
        <v>2.8</v>
      </c>
      <c r="AW211">
        <v>190</v>
      </c>
      <c r="AZ211">
        <v>630</v>
      </c>
      <c r="BA211">
        <v>15</v>
      </c>
      <c r="BF211">
        <v>6</v>
      </c>
      <c r="BI211">
        <v>0.2</v>
      </c>
    </row>
    <row r="212" spans="1:61" x14ac:dyDescent="0.2">
      <c r="A212" t="s">
        <v>669</v>
      </c>
      <c r="B212" t="s">
        <v>670</v>
      </c>
      <c r="C212" t="s">
        <v>411</v>
      </c>
      <c r="D212" t="s">
        <v>280</v>
      </c>
      <c r="E212" s="1" t="s">
        <v>8</v>
      </c>
      <c r="F212" s="1" t="s">
        <v>141</v>
      </c>
      <c r="G212" t="s">
        <v>672</v>
      </c>
      <c r="H212">
        <v>7700</v>
      </c>
      <c r="M212">
        <v>1</v>
      </c>
      <c r="P212">
        <v>9</v>
      </c>
      <c r="S212">
        <v>0.72</v>
      </c>
      <c r="V212">
        <v>240</v>
      </c>
      <c r="W212">
        <v>9.6</v>
      </c>
      <c r="AB212">
        <v>1.9</v>
      </c>
      <c r="AE212">
        <v>7</v>
      </c>
      <c r="AF212">
        <v>12000</v>
      </c>
      <c r="AJ212" s="16">
        <f>(7.7*1.44)</f>
        <v>11.087999999999999</v>
      </c>
      <c r="AN212">
        <v>110</v>
      </c>
      <c r="AQ212">
        <v>2.6</v>
      </c>
      <c r="AT212">
        <v>2.9</v>
      </c>
      <c r="AW212">
        <v>140</v>
      </c>
      <c r="AZ212">
        <v>630</v>
      </c>
      <c r="BA212">
        <v>22</v>
      </c>
      <c r="BF212">
        <v>5</v>
      </c>
      <c r="BI212">
        <v>0.12</v>
      </c>
    </row>
    <row r="213" spans="1:61" x14ac:dyDescent="0.2">
      <c r="A213" t="s">
        <v>669</v>
      </c>
      <c r="B213" t="s">
        <v>670</v>
      </c>
      <c r="C213" t="s">
        <v>411</v>
      </c>
      <c r="D213" t="s">
        <v>280</v>
      </c>
      <c r="E213" s="1" t="s">
        <v>8</v>
      </c>
      <c r="F213" s="1" t="s">
        <v>153</v>
      </c>
      <c r="G213" t="s">
        <v>673</v>
      </c>
      <c r="H213">
        <v>11000</v>
      </c>
      <c r="M213">
        <v>1</v>
      </c>
      <c r="P213">
        <v>50</v>
      </c>
      <c r="S213">
        <v>0.92</v>
      </c>
      <c r="T213">
        <v>960</v>
      </c>
      <c r="W213">
        <v>9.5</v>
      </c>
      <c r="AB213">
        <v>2.5</v>
      </c>
      <c r="AE213">
        <v>20</v>
      </c>
      <c r="AF213">
        <v>4400</v>
      </c>
      <c r="AJ213" s="16">
        <f>(24*1.44)</f>
        <v>34.56</v>
      </c>
      <c r="AN213">
        <v>330</v>
      </c>
      <c r="AO213">
        <v>6.8</v>
      </c>
      <c r="AT213">
        <v>3.7</v>
      </c>
      <c r="AU213">
        <v>490</v>
      </c>
      <c r="AX213">
        <v>810</v>
      </c>
      <c r="BA213">
        <v>16</v>
      </c>
      <c r="BF213">
        <v>20</v>
      </c>
      <c r="BI213">
        <v>0.15</v>
      </c>
    </row>
    <row r="214" spans="1:61" x14ac:dyDescent="0.2">
      <c r="A214" s="10" t="s">
        <v>674</v>
      </c>
      <c r="B214" s="10" t="s">
        <v>675</v>
      </c>
      <c r="C214" s="10" t="s">
        <v>676</v>
      </c>
      <c r="D214" s="10" t="s">
        <v>677</v>
      </c>
      <c r="E214" s="11" t="s">
        <v>168</v>
      </c>
      <c r="F214" s="11" t="s">
        <v>140</v>
      </c>
      <c r="G214" s="10" t="s">
        <v>662</v>
      </c>
      <c r="H214">
        <v>18000</v>
      </c>
      <c r="M214">
        <v>1</v>
      </c>
      <c r="N214">
        <v>36</v>
      </c>
      <c r="S214">
        <v>0.92</v>
      </c>
      <c r="T214">
        <v>330</v>
      </c>
      <c r="W214">
        <v>17</v>
      </c>
      <c r="AB214">
        <v>1.8</v>
      </c>
      <c r="AE214">
        <v>5</v>
      </c>
      <c r="AF214">
        <v>1400</v>
      </c>
      <c r="AJ214" s="16">
        <f>(6.8*1.44)</f>
        <v>9.7919999999999998</v>
      </c>
      <c r="AL214">
        <v>300</v>
      </c>
      <c r="AO214">
        <v>40</v>
      </c>
      <c r="AT214">
        <v>6.2</v>
      </c>
      <c r="AZ214">
        <v>40</v>
      </c>
      <c r="BA214">
        <v>17</v>
      </c>
      <c r="BF214">
        <v>20</v>
      </c>
      <c r="BI214">
        <v>0.11</v>
      </c>
    </row>
    <row r="215" spans="1:61" x14ac:dyDescent="0.2">
      <c r="A215" s="10" t="s">
        <v>674</v>
      </c>
      <c r="B215" s="10" t="s">
        <v>675</v>
      </c>
      <c r="C215" s="10" t="s">
        <v>676</v>
      </c>
      <c r="D215" s="10" t="s">
        <v>677</v>
      </c>
      <c r="E215" s="11" t="s">
        <v>168</v>
      </c>
      <c r="F215" s="11" t="s">
        <v>141</v>
      </c>
      <c r="G215" s="10" t="s">
        <v>663</v>
      </c>
      <c r="H215">
        <v>9200</v>
      </c>
      <c r="M215">
        <v>1</v>
      </c>
      <c r="N215">
        <v>13</v>
      </c>
      <c r="S215">
        <v>0.96</v>
      </c>
      <c r="V215">
        <v>70</v>
      </c>
      <c r="W215">
        <v>7.6</v>
      </c>
      <c r="AB215">
        <v>1.9</v>
      </c>
      <c r="AE215">
        <v>7</v>
      </c>
      <c r="AF215">
        <v>1000</v>
      </c>
      <c r="AJ215" s="16">
        <f>(3.6*1.44)</f>
        <v>5.1840000000000002</v>
      </c>
      <c r="AL215">
        <v>100</v>
      </c>
      <c r="AO215">
        <v>2.2000000000000002</v>
      </c>
      <c r="AT215">
        <v>6.5</v>
      </c>
      <c r="AW215">
        <v>140</v>
      </c>
      <c r="AZ215">
        <v>30</v>
      </c>
      <c r="BA215">
        <v>12</v>
      </c>
      <c r="BF215">
        <v>4</v>
      </c>
      <c r="BI215">
        <v>0.12</v>
      </c>
    </row>
    <row r="216" spans="1:61" x14ac:dyDescent="0.2">
      <c r="A216" t="s">
        <v>678</v>
      </c>
      <c r="B216" t="s">
        <v>679</v>
      </c>
      <c r="C216" t="s">
        <v>680</v>
      </c>
      <c r="D216" t="s">
        <v>416</v>
      </c>
      <c r="E216" s="1" t="s">
        <v>168</v>
      </c>
      <c r="F216" s="1" t="s">
        <v>141</v>
      </c>
      <c r="G216">
        <v>15535</v>
      </c>
      <c r="H216" t="s">
        <v>155</v>
      </c>
      <c r="K216">
        <v>2</v>
      </c>
      <c r="N216">
        <v>15</v>
      </c>
      <c r="S216">
        <v>15</v>
      </c>
      <c r="T216" t="s">
        <v>155</v>
      </c>
      <c r="Y216">
        <v>37</v>
      </c>
      <c r="Z216" t="s">
        <v>155</v>
      </c>
      <c r="AC216" t="s">
        <v>155</v>
      </c>
      <c r="AF216" t="s">
        <v>155</v>
      </c>
      <c r="AK216">
        <v>20</v>
      </c>
      <c r="AL216" t="s">
        <v>155</v>
      </c>
      <c r="AO216" t="s">
        <v>155</v>
      </c>
      <c r="AR216" t="s">
        <v>155</v>
      </c>
      <c r="AU216" t="s">
        <v>155</v>
      </c>
      <c r="AX216" t="s">
        <v>155</v>
      </c>
      <c r="BA216" t="s">
        <v>155</v>
      </c>
      <c r="BD216" t="s">
        <v>155</v>
      </c>
      <c r="BI216">
        <v>0.09</v>
      </c>
    </row>
    <row r="217" spans="1:61" x14ac:dyDescent="0.2">
      <c r="A217" t="s">
        <v>678</v>
      </c>
      <c r="B217" t="s">
        <v>679</v>
      </c>
      <c r="C217" t="s">
        <v>680</v>
      </c>
      <c r="D217" t="s">
        <v>416</v>
      </c>
      <c r="E217" s="1" t="s">
        <v>168</v>
      </c>
      <c r="F217" s="1" t="s">
        <v>141</v>
      </c>
      <c r="G217">
        <v>15536</v>
      </c>
      <c r="H217" t="s">
        <v>155</v>
      </c>
      <c r="K217">
        <v>4</v>
      </c>
      <c r="N217">
        <v>16</v>
      </c>
      <c r="S217">
        <v>16</v>
      </c>
      <c r="T217" t="s">
        <v>155</v>
      </c>
      <c r="Y217">
        <v>39</v>
      </c>
      <c r="Z217" t="s">
        <v>155</v>
      </c>
      <c r="AC217" t="s">
        <v>155</v>
      </c>
      <c r="AF217" t="s">
        <v>155</v>
      </c>
      <c r="AK217">
        <v>20</v>
      </c>
      <c r="AL217" t="s">
        <v>155</v>
      </c>
      <c r="AO217" t="s">
        <v>155</v>
      </c>
      <c r="AR217" t="s">
        <v>155</v>
      </c>
      <c r="AU217" t="s">
        <v>155</v>
      </c>
      <c r="AX217" t="s">
        <v>155</v>
      </c>
      <c r="BA217" t="s">
        <v>155</v>
      </c>
      <c r="BD217" t="s">
        <v>155</v>
      </c>
      <c r="BI217">
        <v>0.09</v>
      </c>
    </row>
    <row r="218" spans="1:61" x14ac:dyDescent="0.2">
      <c r="A218" t="s">
        <v>681</v>
      </c>
      <c r="B218" t="s">
        <v>682</v>
      </c>
      <c r="C218" t="s">
        <v>683</v>
      </c>
      <c r="D218" t="s">
        <v>136</v>
      </c>
      <c r="E218" s="1" t="s">
        <v>8</v>
      </c>
      <c r="F218" s="1" t="s">
        <v>140</v>
      </c>
      <c r="G218">
        <v>3142</v>
      </c>
      <c r="H218" t="s">
        <v>155</v>
      </c>
      <c r="M218">
        <v>2</v>
      </c>
      <c r="N218">
        <v>19</v>
      </c>
      <c r="S218">
        <v>15</v>
      </c>
      <c r="T218" t="s">
        <v>155</v>
      </c>
      <c r="Y218">
        <v>38</v>
      </c>
      <c r="Z218" t="s">
        <v>155</v>
      </c>
      <c r="AC218" t="s">
        <v>155</v>
      </c>
      <c r="AF218" t="s">
        <v>155</v>
      </c>
      <c r="AI218">
        <v>19</v>
      </c>
      <c r="AL218" t="s">
        <v>155</v>
      </c>
      <c r="AO218" t="s">
        <v>155</v>
      </c>
      <c r="AR218" t="s">
        <v>155</v>
      </c>
      <c r="AU218" t="s">
        <v>155</v>
      </c>
      <c r="AX218" t="s">
        <v>155</v>
      </c>
      <c r="BA218" t="s">
        <v>155</v>
      </c>
      <c r="BD218" t="s">
        <v>155</v>
      </c>
      <c r="BI218">
        <v>0.09</v>
      </c>
    </row>
    <row r="219" spans="1:61" x14ac:dyDescent="0.2">
      <c r="A219" t="s">
        <v>684</v>
      </c>
      <c r="B219" t="s">
        <v>685</v>
      </c>
      <c r="C219" t="s">
        <v>686</v>
      </c>
      <c r="D219" t="s">
        <v>134</v>
      </c>
      <c r="E219" s="1" t="s">
        <v>8</v>
      </c>
      <c r="F219" s="1" t="s">
        <v>140</v>
      </c>
      <c r="G219">
        <v>15674</v>
      </c>
      <c r="H219" t="s">
        <v>155</v>
      </c>
      <c r="K219">
        <v>4</v>
      </c>
      <c r="N219">
        <v>10</v>
      </c>
      <c r="S219">
        <v>16</v>
      </c>
      <c r="T219" t="s">
        <v>155</v>
      </c>
      <c r="Y219">
        <v>40</v>
      </c>
      <c r="Z219" t="s">
        <v>155</v>
      </c>
      <c r="AE219">
        <v>10</v>
      </c>
      <c r="AF219" t="s">
        <v>155</v>
      </c>
      <c r="AI219">
        <v>20</v>
      </c>
      <c r="AL219" t="s">
        <v>155</v>
      </c>
      <c r="AO219" t="s">
        <v>155</v>
      </c>
      <c r="AR219" t="s">
        <v>155</v>
      </c>
      <c r="AU219" t="s">
        <v>155</v>
      </c>
      <c r="AX219" t="s">
        <v>155</v>
      </c>
      <c r="BA219" t="s">
        <v>155</v>
      </c>
      <c r="BD219" t="s">
        <v>155</v>
      </c>
      <c r="BI219">
        <v>0.1</v>
      </c>
    </row>
    <row r="220" spans="1:61" x14ac:dyDescent="0.2">
      <c r="A220" t="s">
        <v>684</v>
      </c>
      <c r="B220" t="s">
        <v>670</v>
      </c>
      <c r="C220" t="s">
        <v>686</v>
      </c>
      <c r="D220" t="s">
        <v>134</v>
      </c>
      <c r="E220" s="1" t="s">
        <v>8</v>
      </c>
      <c r="F220" s="1" t="s">
        <v>141</v>
      </c>
      <c r="G220">
        <v>15675</v>
      </c>
      <c r="H220" t="s">
        <v>155</v>
      </c>
      <c r="K220">
        <v>6</v>
      </c>
      <c r="N220">
        <v>16</v>
      </c>
      <c r="S220">
        <v>16</v>
      </c>
      <c r="T220" t="s">
        <v>155</v>
      </c>
      <c r="Y220">
        <v>40</v>
      </c>
      <c r="Z220" t="s">
        <v>155</v>
      </c>
      <c r="AE220">
        <v>10</v>
      </c>
      <c r="AF220" t="s">
        <v>155</v>
      </c>
      <c r="AI220">
        <v>20</v>
      </c>
      <c r="AL220" t="s">
        <v>155</v>
      </c>
      <c r="AO220" t="s">
        <v>155</v>
      </c>
      <c r="AR220" t="s">
        <v>155</v>
      </c>
      <c r="AU220" t="s">
        <v>155</v>
      </c>
      <c r="AX220" t="s">
        <v>155</v>
      </c>
      <c r="BA220" t="s">
        <v>155</v>
      </c>
      <c r="BD220" t="s">
        <v>155</v>
      </c>
      <c r="BI220">
        <v>0.1</v>
      </c>
    </row>
    <row r="221" spans="1:61" x14ac:dyDescent="0.2">
      <c r="A221" s="10" t="s">
        <v>687</v>
      </c>
      <c r="B221" s="10" t="s">
        <v>688</v>
      </c>
      <c r="C221" s="10" t="s">
        <v>689</v>
      </c>
      <c r="D221" s="10" t="s">
        <v>474</v>
      </c>
      <c r="E221" s="11" t="s">
        <v>8</v>
      </c>
      <c r="F221" s="11" t="s">
        <v>140</v>
      </c>
      <c r="G221" s="10" t="s">
        <v>690</v>
      </c>
      <c r="H221">
        <v>24000</v>
      </c>
      <c r="K221">
        <v>12</v>
      </c>
      <c r="N221">
        <v>24000</v>
      </c>
      <c r="Q221">
        <v>0.69</v>
      </c>
      <c r="T221">
        <v>1700</v>
      </c>
      <c r="W221">
        <v>32</v>
      </c>
      <c r="Z221">
        <v>15</v>
      </c>
      <c r="AC221">
        <v>31</v>
      </c>
      <c r="AF221">
        <v>32000</v>
      </c>
      <c r="AI221">
        <v>16</v>
      </c>
      <c r="AL221">
        <v>7800</v>
      </c>
      <c r="AO221">
        <v>220</v>
      </c>
      <c r="AR221">
        <v>27</v>
      </c>
      <c r="AU221">
        <v>1700</v>
      </c>
      <c r="AZ221">
        <v>60</v>
      </c>
      <c r="BA221">
        <v>91</v>
      </c>
      <c r="BD221">
        <v>88</v>
      </c>
      <c r="BG221">
        <v>4.2999999999999997E-2</v>
      </c>
    </row>
    <row r="222" spans="1:61" x14ac:dyDescent="0.2">
      <c r="A222" t="s">
        <v>691</v>
      </c>
      <c r="B222" t="s">
        <v>692</v>
      </c>
      <c r="C222" t="s">
        <v>420</v>
      </c>
      <c r="D222" t="s">
        <v>132</v>
      </c>
      <c r="E222" s="1" t="s">
        <v>8</v>
      </c>
      <c r="F222" s="1" t="s">
        <v>141</v>
      </c>
      <c r="G222" t="s">
        <v>693</v>
      </c>
      <c r="H222" t="s">
        <v>155</v>
      </c>
      <c r="M222">
        <v>0.59</v>
      </c>
      <c r="N222">
        <v>18</v>
      </c>
      <c r="Q222">
        <v>0.6</v>
      </c>
      <c r="T222" t="s">
        <v>155</v>
      </c>
      <c r="W222">
        <v>28</v>
      </c>
      <c r="Z222" t="s">
        <v>155</v>
      </c>
      <c r="AC222" t="s">
        <v>155</v>
      </c>
      <c r="AF222" t="s">
        <v>155</v>
      </c>
      <c r="AI222">
        <v>6.2</v>
      </c>
      <c r="AL222" t="s">
        <v>155</v>
      </c>
      <c r="AO222" t="s">
        <v>155</v>
      </c>
      <c r="AR222" t="s">
        <v>155</v>
      </c>
      <c r="AU222" t="s">
        <v>155</v>
      </c>
      <c r="AX222" t="s">
        <v>155</v>
      </c>
      <c r="BA222" t="s">
        <v>155</v>
      </c>
      <c r="BD222" t="s">
        <v>155</v>
      </c>
      <c r="BG222">
        <v>2.4E-2</v>
      </c>
    </row>
    <row r="223" spans="1:61" x14ac:dyDescent="0.2">
      <c r="A223" t="s">
        <v>691</v>
      </c>
      <c r="B223" t="s">
        <v>692</v>
      </c>
      <c r="C223" t="s">
        <v>420</v>
      </c>
      <c r="D223" t="s">
        <v>132</v>
      </c>
      <c r="E223" s="1" t="s">
        <v>8</v>
      </c>
      <c r="F223" s="1" t="s">
        <v>141</v>
      </c>
      <c r="G223" t="s">
        <v>694</v>
      </c>
      <c r="H223" t="s">
        <v>155</v>
      </c>
      <c r="M223">
        <v>0.62</v>
      </c>
      <c r="N223">
        <v>140</v>
      </c>
      <c r="Q223">
        <v>1.5</v>
      </c>
      <c r="T223" t="s">
        <v>155</v>
      </c>
      <c r="W223">
        <v>46</v>
      </c>
      <c r="Z223" t="s">
        <v>155</v>
      </c>
      <c r="AC223" t="s">
        <v>155</v>
      </c>
      <c r="AF223" t="s">
        <v>155</v>
      </c>
      <c r="AI223">
        <v>32</v>
      </c>
      <c r="AL223" t="s">
        <v>155</v>
      </c>
      <c r="AO223" t="s">
        <v>155</v>
      </c>
      <c r="AR223" t="s">
        <v>155</v>
      </c>
      <c r="AU223" t="s">
        <v>155</v>
      </c>
      <c r="AX223" t="s">
        <v>155</v>
      </c>
      <c r="BA223" t="s">
        <v>155</v>
      </c>
      <c r="BD223" t="s">
        <v>155</v>
      </c>
      <c r="BI223">
        <v>2.4E-2</v>
      </c>
    </row>
    <row r="224" spans="1:61" x14ac:dyDescent="0.2">
      <c r="A224" t="s">
        <v>695</v>
      </c>
      <c r="B224" t="s">
        <v>696</v>
      </c>
      <c r="C224" t="s">
        <v>151</v>
      </c>
      <c r="D224" t="s">
        <v>152</v>
      </c>
      <c r="E224" s="1" t="s">
        <v>8</v>
      </c>
      <c r="F224" s="1" t="s">
        <v>141</v>
      </c>
      <c r="G224" t="s">
        <v>697</v>
      </c>
      <c r="H224">
        <v>4500</v>
      </c>
      <c r="K224" t="s">
        <v>155</v>
      </c>
      <c r="P224">
        <v>4.3</v>
      </c>
      <c r="S224">
        <v>0.86</v>
      </c>
      <c r="T224">
        <v>210</v>
      </c>
      <c r="W224">
        <v>1.1000000000000001</v>
      </c>
      <c r="Z224" t="s">
        <v>155</v>
      </c>
      <c r="AC224">
        <v>25</v>
      </c>
      <c r="AF224">
        <v>20000</v>
      </c>
      <c r="AI224">
        <v>620</v>
      </c>
      <c r="AL224">
        <v>56</v>
      </c>
      <c r="AO224">
        <v>700</v>
      </c>
      <c r="AT224">
        <v>3.4</v>
      </c>
      <c r="AU224">
        <v>190</v>
      </c>
      <c r="AZ224">
        <v>43</v>
      </c>
      <c r="BA224" t="s">
        <v>155</v>
      </c>
      <c r="BD224">
        <v>33</v>
      </c>
      <c r="BG224" t="s">
        <v>155</v>
      </c>
    </row>
    <row r="225" spans="1:61" x14ac:dyDescent="0.2">
      <c r="A225" s="10" t="s">
        <v>698</v>
      </c>
      <c r="B225" s="10" t="s">
        <v>699</v>
      </c>
      <c r="C225" s="10" t="s">
        <v>460</v>
      </c>
      <c r="D225" s="10" t="s">
        <v>461</v>
      </c>
      <c r="E225" s="11" t="s">
        <v>168</v>
      </c>
      <c r="F225" s="11" t="s">
        <v>140</v>
      </c>
      <c r="G225" s="10" t="s">
        <v>700</v>
      </c>
      <c r="H225">
        <v>14000</v>
      </c>
      <c r="L225" s="16">
        <f>(0.78*1.74)</f>
        <v>1.3572</v>
      </c>
      <c r="N225">
        <v>35.1</v>
      </c>
      <c r="Q225">
        <v>5.2</v>
      </c>
      <c r="V225">
        <v>50</v>
      </c>
      <c r="W225">
        <v>33.5</v>
      </c>
      <c r="AB225">
        <v>2.8</v>
      </c>
      <c r="AC225">
        <v>9.3000000000000007</v>
      </c>
      <c r="AF225">
        <v>55300</v>
      </c>
      <c r="AJ225" s="16">
        <f>(16.3*1.44)</f>
        <v>23.472000000000001</v>
      </c>
      <c r="AM225" s="16">
        <f>(1360*1.23)</f>
        <v>1672.8</v>
      </c>
      <c r="AO225">
        <v>65</v>
      </c>
      <c r="AR225">
        <v>9.3000000000000007</v>
      </c>
      <c r="AW225">
        <v>372</v>
      </c>
      <c r="AY225" s="16">
        <f>(24.9*25.43)</f>
        <v>633.20699999999999</v>
      </c>
      <c r="BA225">
        <v>52.6</v>
      </c>
      <c r="BD225">
        <v>25</v>
      </c>
      <c r="BI225">
        <v>1</v>
      </c>
    </row>
    <row r="226" spans="1:61" x14ac:dyDescent="0.2">
      <c r="A226" t="s">
        <v>698</v>
      </c>
      <c r="B226" t="s">
        <v>699</v>
      </c>
      <c r="C226" t="s">
        <v>460</v>
      </c>
      <c r="D226" t="s">
        <v>461</v>
      </c>
      <c r="E226" s="1" t="s">
        <v>168</v>
      </c>
      <c r="F226" s="1" t="s">
        <v>153</v>
      </c>
      <c r="G226" t="s">
        <v>701</v>
      </c>
      <c r="H226" t="s">
        <v>155</v>
      </c>
      <c r="M226">
        <v>4</v>
      </c>
      <c r="N226">
        <v>38</v>
      </c>
      <c r="S226">
        <v>16</v>
      </c>
      <c r="T226" t="s">
        <v>155</v>
      </c>
      <c r="Y226">
        <v>20</v>
      </c>
      <c r="Z226" t="s">
        <v>155</v>
      </c>
      <c r="AC226" t="s">
        <v>155</v>
      </c>
      <c r="AF226" t="s">
        <v>155</v>
      </c>
      <c r="AI226">
        <v>20</v>
      </c>
      <c r="AL226" t="s">
        <v>155</v>
      </c>
      <c r="AO226" t="s">
        <v>155</v>
      </c>
      <c r="AR226" t="s">
        <v>155</v>
      </c>
      <c r="AU226" t="s">
        <v>155</v>
      </c>
      <c r="AX226" t="s">
        <v>155</v>
      </c>
      <c r="BA226" t="s">
        <v>155</v>
      </c>
      <c r="BD226" t="s">
        <v>155</v>
      </c>
      <c r="BG226">
        <v>0.1</v>
      </c>
    </row>
    <row r="227" spans="1:61" x14ac:dyDescent="0.2">
      <c r="A227" t="s">
        <v>702</v>
      </c>
      <c r="B227" t="s">
        <v>703</v>
      </c>
      <c r="C227" t="s">
        <v>151</v>
      </c>
      <c r="D227" t="s">
        <v>152</v>
      </c>
      <c r="E227" s="1" t="s">
        <v>8</v>
      </c>
      <c r="F227" s="1" t="s">
        <v>140</v>
      </c>
      <c r="G227" t="s">
        <v>704</v>
      </c>
      <c r="H227">
        <v>17000</v>
      </c>
      <c r="K227">
        <v>27</v>
      </c>
      <c r="N227">
        <v>110</v>
      </c>
      <c r="S227">
        <v>1</v>
      </c>
      <c r="T227">
        <v>4300</v>
      </c>
      <c r="W227">
        <v>48</v>
      </c>
      <c r="Z227">
        <v>8.3000000000000007</v>
      </c>
      <c r="AE227">
        <v>30</v>
      </c>
      <c r="AF227">
        <v>20000</v>
      </c>
      <c r="AI227" t="s">
        <v>155</v>
      </c>
      <c r="AL227">
        <v>3400</v>
      </c>
      <c r="AP227" s="16">
        <f>(280*1.24)</f>
        <v>347.2</v>
      </c>
      <c r="AR227">
        <v>14</v>
      </c>
      <c r="AU227">
        <v>3200</v>
      </c>
      <c r="AZ227">
        <v>180</v>
      </c>
      <c r="BA227">
        <v>41</v>
      </c>
      <c r="BD227">
        <v>8671</v>
      </c>
      <c r="BG227" t="s">
        <v>155</v>
      </c>
    </row>
    <row r="228" spans="1:61" x14ac:dyDescent="0.2">
      <c r="A228" t="s">
        <v>702</v>
      </c>
      <c r="B228" t="s">
        <v>703</v>
      </c>
      <c r="C228" t="s">
        <v>151</v>
      </c>
      <c r="D228" t="s">
        <v>152</v>
      </c>
      <c r="E228" s="1" t="s">
        <v>8</v>
      </c>
      <c r="F228" s="1" t="s">
        <v>153</v>
      </c>
      <c r="G228" t="s">
        <v>705</v>
      </c>
      <c r="H228">
        <v>3700</v>
      </c>
      <c r="M228">
        <v>2</v>
      </c>
      <c r="N228">
        <v>23</v>
      </c>
      <c r="S228">
        <v>0.25</v>
      </c>
      <c r="T228">
        <v>660</v>
      </c>
      <c r="W228">
        <v>14</v>
      </c>
      <c r="Z228">
        <v>6</v>
      </c>
      <c r="AC228">
        <v>13</v>
      </c>
      <c r="AF228">
        <v>8700</v>
      </c>
      <c r="AI228">
        <v>19</v>
      </c>
      <c r="AL228">
        <v>2200</v>
      </c>
      <c r="AO228">
        <v>300</v>
      </c>
      <c r="AR228">
        <v>9.1999999999999993</v>
      </c>
      <c r="AU228">
        <v>610</v>
      </c>
      <c r="AZ228">
        <v>80</v>
      </c>
      <c r="BA228">
        <v>16</v>
      </c>
      <c r="BD228">
        <v>70</v>
      </c>
      <c r="BG228" t="s">
        <v>155</v>
      </c>
    </row>
    <row r="229" spans="1:61" x14ac:dyDescent="0.2">
      <c r="A229" t="s">
        <v>706</v>
      </c>
      <c r="B229" t="s">
        <v>707</v>
      </c>
      <c r="C229" t="s">
        <v>460</v>
      </c>
      <c r="D229" t="s">
        <v>461</v>
      </c>
      <c r="E229" s="1" t="s">
        <v>168</v>
      </c>
      <c r="F229" s="1" t="s">
        <v>140</v>
      </c>
      <c r="G229" t="s">
        <v>708</v>
      </c>
      <c r="H229" t="s">
        <v>155</v>
      </c>
      <c r="K229">
        <v>37</v>
      </c>
      <c r="N229">
        <v>15</v>
      </c>
      <c r="S229">
        <v>0.5</v>
      </c>
      <c r="T229" t="s">
        <v>155</v>
      </c>
      <c r="W229">
        <v>18</v>
      </c>
      <c r="Z229" t="s">
        <v>155</v>
      </c>
      <c r="AC229">
        <v>10</v>
      </c>
      <c r="AF229" t="s">
        <v>155</v>
      </c>
      <c r="AI229">
        <v>9.5</v>
      </c>
      <c r="AL229" t="s">
        <v>155</v>
      </c>
      <c r="AO229" t="s">
        <v>155</v>
      </c>
      <c r="AR229" t="s">
        <v>155</v>
      </c>
      <c r="AU229" t="s">
        <v>155</v>
      </c>
      <c r="AX229" t="s">
        <v>155</v>
      </c>
      <c r="BA229" t="s">
        <v>155</v>
      </c>
      <c r="BD229">
        <v>5.5</v>
      </c>
      <c r="BG229">
        <v>4.9000000000000002E-2</v>
      </c>
    </row>
    <row r="230" spans="1:61" x14ac:dyDescent="0.2">
      <c r="A230" s="10" t="s">
        <v>709</v>
      </c>
      <c r="B230" s="10" t="s">
        <v>710</v>
      </c>
      <c r="C230" s="10" t="s">
        <v>711</v>
      </c>
      <c r="D230" s="10" t="s">
        <v>406</v>
      </c>
      <c r="E230" s="11" t="s">
        <v>168</v>
      </c>
      <c r="F230" s="11" t="s">
        <v>140</v>
      </c>
      <c r="G230" s="10" t="s">
        <v>217</v>
      </c>
      <c r="I230" s="16">
        <f>(4200*1.66)</f>
        <v>6972</v>
      </c>
      <c r="L230" s="16">
        <f>(7.1*1.74)</f>
        <v>12.353999999999999</v>
      </c>
      <c r="O230" s="16">
        <f>(83*3.99)</f>
        <v>331.17</v>
      </c>
      <c r="S230">
        <v>1.2</v>
      </c>
      <c r="V230">
        <v>400</v>
      </c>
      <c r="W230">
        <v>5.4</v>
      </c>
      <c r="AB230">
        <v>1.9</v>
      </c>
      <c r="AC230">
        <v>11</v>
      </c>
      <c r="AG230" s="16">
        <f>(2900*1.34)</f>
        <v>3886.0000000000005</v>
      </c>
      <c r="AI230">
        <v>28</v>
      </c>
      <c r="AN230">
        <v>140</v>
      </c>
      <c r="AO230">
        <v>11</v>
      </c>
      <c r="AT230">
        <v>5.3</v>
      </c>
      <c r="AW230">
        <v>100</v>
      </c>
      <c r="AZ230">
        <v>90</v>
      </c>
      <c r="BA230">
        <v>5.0999999999999996</v>
      </c>
      <c r="BF230">
        <v>20</v>
      </c>
      <c r="BI230">
        <v>0.1</v>
      </c>
    </row>
    <row r="231" spans="1:61" x14ac:dyDescent="0.2">
      <c r="A231" s="10" t="s">
        <v>709</v>
      </c>
      <c r="B231" s="10" t="s">
        <v>710</v>
      </c>
      <c r="C231" s="10" t="s">
        <v>711</v>
      </c>
      <c r="D231" s="10" t="s">
        <v>406</v>
      </c>
      <c r="E231" s="11" t="s">
        <v>168</v>
      </c>
      <c r="F231" s="11" t="s">
        <v>141</v>
      </c>
      <c r="G231" s="10" t="s">
        <v>218</v>
      </c>
      <c r="I231" s="16">
        <f>(5300*1.66)</f>
        <v>8798</v>
      </c>
      <c r="L231" s="16">
        <f>(2.8*1.74)</f>
        <v>4.8719999999999999</v>
      </c>
      <c r="O231" s="16">
        <f>(20*3.99)</f>
        <v>79.800000000000011</v>
      </c>
      <c r="S231">
        <v>1.1000000000000001</v>
      </c>
      <c r="V231">
        <v>110</v>
      </c>
      <c r="W231">
        <v>6.8</v>
      </c>
      <c r="AB231">
        <v>1.7</v>
      </c>
      <c r="AE231">
        <v>3</v>
      </c>
      <c r="AG231" s="16">
        <f>(680*1.34)</f>
        <v>911.2</v>
      </c>
      <c r="AI231">
        <v>10</v>
      </c>
      <c r="AN231">
        <v>130</v>
      </c>
      <c r="AQ231">
        <v>3</v>
      </c>
      <c r="AT231">
        <v>4.7</v>
      </c>
      <c r="AW231">
        <v>90</v>
      </c>
      <c r="AZ231">
        <v>60</v>
      </c>
      <c r="BA231">
        <v>4.0999999999999996</v>
      </c>
      <c r="BF231">
        <v>4</v>
      </c>
      <c r="BI231">
        <v>0.2</v>
      </c>
    </row>
    <row r="232" spans="1:61" x14ac:dyDescent="0.2">
      <c r="A232" s="10" t="s">
        <v>709</v>
      </c>
      <c r="B232" s="10" t="s">
        <v>710</v>
      </c>
      <c r="C232" s="10" t="s">
        <v>711</v>
      </c>
      <c r="D232" s="10" t="s">
        <v>406</v>
      </c>
      <c r="E232" s="11" t="s">
        <v>168</v>
      </c>
      <c r="F232" s="11" t="s">
        <v>153</v>
      </c>
      <c r="G232" s="10" t="s">
        <v>219</v>
      </c>
      <c r="I232" s="16">
        <f>(5700*1.66)</f>
        <v>9462</v>
      </c>
      <c r="M232">
        <v>4</v>
      </c>
      <c r="O232" s="16">
        <f>(36*3.99)</f>
        <v>143.64000000000001</v>
      </c>
      <c r="S232">
        <v>1.6</v>
      </c>
      <c r="T232">
        <v>5200</v>
      </c>
      <c r="W232">
        <v>8.6</v>
      </c>
      <c r="AB232">
        <v>4</v>
      </c>
      <c r="AC232">
        <v>100</v>
      </c>
      <c r="AG232" s="16">
        <f>(1800*1.34)</f>
        <v>2412</v>
      </c>
      <c r="AI232">
        <v>43</v>
      </c>
      <c r="AL232">
        <v>1800</v>
      </c>
      <c r="AO232">
        <v>11</v>
      </c>
      <c r="AT232">
        <v>7</v>
      </c>
      <c r="AW232">
        <v>140</v>
      </c>
      <c r="AZ232">
        <v>110</v>
      </c>
      <c r="BA232">
        <v>5.4</v>
      </c>
      <c r="BF232">
        <v>20</v>
      </c>
      <c r="BI232">
        <v>0.15</v>
      </c>
    </row>
    <row r="233" spans="1:61" x14ac:dyDescent="0.2">
      <c r="A233" t="s">
        <v>712</v>
      </c>
      <c r="B233" t="s">
        <v>713</v>
      </c>
      <c r="C233" t="s">
        <v>714</v>
      </c>
      <c r="D233" t="s">
        <v>379</v>
      </c>
      <c r="E233" s="1" t="s">
        <v>168</v>
      </c>
      <c r="F233" s="1" t="s">
        <v>153</v>
      </c>
      <c r="G233" t="s">
        <v>715</v>
      </c>
      <c r="H233" t="s">
        <v>155</v>
      </c>
      <c r="K233">
        <v>59</v>
      </c>
      <c r="N233">
        <v>55</v>
      </c>
      <c r="Q233">
        <v>12</v>
      </c>
      <c r="T233" t="s">
        <v>155</v>
      </c>
      <c r="W233">
        <v>110</v>
      </c>
      <c r="Z233" t="s">
        <v>155</v>
      </c>
      <c r="AC233" t="s">
        <v>155</v>
      </c>
      <c r="AF233" t="s">
        <v>155</v>
      </c>
      <c r="AI233">
        <v>20</v>
      </c>
      <c r="AL233" t="s">
        <v>155</v>
      </c>
      <c r="AO233" t="s">
        <v>155</v>
      </c>
      <c r="AR233" t="s">
        <v>155</v>
      </c>
      <c r="AU233" t="s">
        <v>155</v>
      </c>
      <c r="AX233" t="s">
        <v>155</v>
      </c>
      <c r="BA233" t="s">
        <v>155</v>
      </c>
      <c r="BD233">
        <v>53</v>
      </c>
      <c r="BI233">
        <v>0.09</v>
      </c>
    </row>
    <row r="234" spans="1:61" x14ac:dyDescent="0.2">
      <c r="A234" t="s">
        <v>716</v>
      </c>
      <c r="B234" t="s">
        <v>717</v>
      </c>
      <c r="C234" t="s">
        <v>718</v>
      </c>
      <c r="D234" t="s">
        <v>719</v>
      </c>
      <c r="E234" s="1" t="s">
        <v>168</v>
      </c>
      <c r="F234" s="1" t="s">
        <v>140</v>
      </c>
      <c r="G234">
        <v>2919</v>
      </c>
      <c r="H234" t="s">
        <v>155</v>
      </c>
      <c r="M234">
        <v>5</v>
      </c>
      <c r="N234">
        <v>5</v>
      </c>
      <c r="S234">
        <v>2.5</v>
      </c>
      <c r="T234" t="s">
        <v>155</v>
      </c>
      <c r="Y234">
        <v>2.5</v>
      </c>
      <c r="Z234" t="s">
        <v>155</v>
      </c>
      <c r="AC234" t="s">
        <v>155</v>
      </c>
      <c r="AF234" t="s">
        <v>155</v>
      </c>
      <c r="AK234">
        <v>5</v>
      </c>
      <c r="AL234" t="s">
        <v>155</v>
      </c>
      <c r="AO234" t="s">
        <v>155</v>
      </c>
      <c r="AR234" t="s">
        <v>155</v>
      </c>
      <c r="AU234" t="s">
        <v>155</v>
      </c>
      <c r="AX234" t="s">
        <v>155</v>
      </c>
      <c r="BA234" t="s">
        <v>155</v>
      </c>
      <c r="BD234" t="s">
        <v>155</v>
      </c>
      <c r="BI234">
        <v>0.1</v>
      </c>
    </row>
    <row r="235" spans="1:61" x14ac:dyDescent="0.2">
      <c r="A235" t="s">
        <v>720</v>
      </c>
      <c r="B235" t="s">
        <v>721</v>
      </c>
      <c r="C235" t="s">
        <v>722</v>
      </c>
      <c r="D235" t="s">
        <v>223</v>
      </c>
      <c r="E235" s="1" t="s">
        <v>168</v>
      </c>
      <c r="F235" s="1" t="s">
        <v>140</v>
      </c>
      <c r="G235">
        <v>15566</v>
      </c>
      <c r="H235" t="s">
        <v>155</v>
      </c>
      <c r="M235">
        <v>19</v>
      </c>
      <c r="N235">
        <v>8</v>
      </c>
      <c r="S235">
        <v>15</v>
      </c>
      <c r="T235" t="s">
        <v>155</v>
      </c>
      <c r="Y235">
        <v>38</v>
      </c>
      <c r="Z235" t="s">
        <v>155</v>
      </c>
      <c r="AC235" t="s">
        <v>155</v>
      </c>
      <c r="AF235" t="s">
        <v>155</v>
      </c>
      <c r="AI235">
        <v>33</v>
      </c>
      <c r="AL235" t="s">
        <v>155</v>
      </c>
      <c r="AO235" t="s">
        <v>155</v>
      </c>
      <c r="AR235" t="s">
        <v>155</v>
      </c>
      <c r="AU235" t="s">
        <v>155</v>
      </c>
      <c r="AX235" t="s">
        <v>155</v>
      </c>
      <c r="BA235" t="s">
        <v>155</v>
      </c>
      <c r="BD235" t="s">
        <v>155</v>
      </c>
      <c r="BI235">
        <v>0.1</v>
      </c>
    </row>
    <row r="236" spans="1:61" x14ac:dyDescent="0.2">
      <c r="A236" t="s">
        <v>723</v>
      </c>
      <c r="B236" t="s">
        <v>724</v>
      </c>
      <c r="C236" t="s">
        <v>725</v>
      </c>
      <c r="D236" t="s">
        <v>434</v>
      </c>
      <c r="E236" s="1" t="s">
        <v>168</v>
      </c>
      <c r="F236" s="1" t="s">
        <v>153</v>
      </c>
      <c r="G236" t="s">
        <v>726</v>
      </c>
      <c r="H236">
        <v>11700</v>
      </c>
      <c r="K236" t="s">
        <v>155</v>
      </c>
      <c r="N236">
        <v>102</v>
      </c>
      <c r="Q236">
        <v>3.3</v>
      </c>
      <c r="T236" t="s">
        <v>155</v>
      </c>
      <c r="W236">
        <v>23.2</v>
      </c>
      <c r="Z236">
        <v>18.100000000000001</v>
      </c>
      <c r="AC236">
        <v>21.4</v>
      </c>
      <c r="AF236">
        <v>39700</v>
      </c>
      <c r="AI236">
        <v>10.9</v>
      </c>
      <c r="AL236">
        <v>2660</v>
      </c>
      <c r="AO236">
        <v>1990</v>
      </c>
      <c r="AR236" t="s">
        <v>155</v>
      </c>
      <c r="AU236" t="s">
        <v>155</v>
      </c>
      <c r="AX236" t="s">
        <v>155</v>
      </c>
      <c r="BA236">
        <v>67.400000000000006</v>
      </c>
      <c r="BD236">
        <v>35.9</v>
      </c>
      <c r="BG236">
        <v>0.28000000000000003</v>
      </c>
    </row>
    <row r="237" spans="1:61" x14ac:dyDescent="0.2">
      <c r="A237" s="17" t="s">
        <v>727</v>
      </c>
      <c r="B237" s="10" t="s">
        <v>728</v>
      </c>
      <c r="C237" s="10" t="s">
        <v>729</v>
      </c>
      <c r="D237" s="10" t="s">
        <v>275</v>
      </c>
      <c r="E237" s="11" t="s">
        <v>168</v>
      </c>
      <c r="F237" s="11" t="s">
        <v>140</v>
      </c>
      <c r="G237" s="10" t="s">
        <v>730</v>
      </c>
      <c r="H237" s="9">
        <v>44000</v>
      </c>
      <c r="L237" s="16">
        <f>(25*1.74)</f>
        <v>43.5</v>
      </c>
      <c r="N237">
        <v>100</v>
      </c>
      <c r="R237" s="16">
        <f>(11*1.41)</f>
        <v>15.51</v>
      </c>
      <c r="U237" s="16">
        <f>(11*1.28)</f>
        <v>14.08</v>
      </c>
      <c r="W237">
        <v>35</v>
      </c>
      <c r="Z237">
        <v>10</v>
      </c>
      <c r="AD237" s="16">
        <f>(40*1.22)</f>
        <v>48.8</v>
      </c>
      <c r="AF237">
        <v>38000</v>
      </c>
      <c r="AK237">
        <v>20</v>
      </c>
      <c r="AM237" s="16">
        <f>(3100*1.23)</f>
        <v>3813</v>
      </c>
      <c r="AO237">
        <v>260</v>
      </c>
      <c r="AT237">
        <v>30</v>
      </c>
      <c r="AU237">
        <v>2900</v>
      </c>
      <c r="AZ237">
        <v>300</v>
      </c>
      <c r="BB237" s="16">
        <f>(66*1.34)</f>
        <v>88.440000000000012</v>
      </c>
      <c r="BE237" s="16">
        <f>(55*1.5)</f>
        <v>82.5</v>
      </c>
      <c r="BI237">
        <v>0.13</v>
      </c>
    </row>
    <row r="238" spans="1:61" x14ac:dyDescent="0.2">
      <c r="A238" t="s">
        <v>731</v>
      </c>
      <c r="B238" t="s">
        <v>732</v>
      </c>
      <c r="C238" t="s">
        <v>733</v>
      </c>
      <c r="D238" t="s">
        <v>230</v>
      </c>
      <c r="E238" s="1" t="s">
        <v>8</v>
      </c>
      <c r="F238" s="1" t="s">
        <v>153</v>
      </c>
      <c r="G238" t="s">
        <v>521</v>
      </c>
      <c r="K238">
        <v>21.3</v>
      </c>
      <c r="N238">
        <v>240</v>
      </c>
      <c r="Q238">
        <v>0.72</v>
      </c>
      <c r="W238">
        <v>44.5</v>
      </c>
      <c r="AC238">
        <v>40</v>
      </c>
      <c r="AI238">
        <v>67.7</v>
      </c>
      <c r="BD238">
        <v>334</v>
      </c>
      <c r="BI238">
        <v>8.9999999999999993E-3</v>
      </c>
    </row>
    <row r="239" spans="1:61" x14ac:dyDescent="0.2">
      <c r="A239" t="s">
        <v>734</v>
      </c>
      <c r="B239" t="s">
        <v>735</v>
      </c>
      <c r="C239" t="s">
        <v>736</v>
      </c>
      <c r="D239" t="s">
        <v>135</v>
      </c>
      <c r="E239" s="1" t="s">
        <v>8</v>
      </c>
      <c r="F239" s="1" t="s">
        <v>140</v>
      </c>
      <c r="G239" t="s">
        <v>737</v>
      </c>
      <c r="H239">
        <v>20000</v>
      </c>
      <c r="K239">
        <v>0.68</v>
      </c>
      <c r="N239">
        <v>78.3</v>
      </c>
      <c r="S239">
        <v>0.74</v>
      </c>
      <c r="T239">
        <v>1580</v>
      </c>
      <c r="W239">
        <v>57.1</v>
      </c>
      <c r="Z239">
        <v>20.7</v>
      </c>
      <c r="AC239">
        <v>44.6</v>
      </c>
      <c r="AF239">
        <v>33800</v>
      </c>
      <c r="AI239">
        <v>6.8</v>
      </c>
      <c r="AL239">
        <v>7940</v>
      </c>
      <c r="AO239">
        <v>447</v>
      </c>
      <c r="AR239">
        <v>22.6</v>
      </c>
      <c r="AU239">
        <v>2000</v>
      </c>
      <c r="AX239">
        <v>39.799999999999997</v>
      </c>
      <c r="BA239">
        <v>106</v>
      </c>
      <c r="BD239" t="s">
        <v>155</v>
      </c>
      <c r="BI239">
        <v>0.11</v>
      </c>
    </row>
    <row r="240" spans="1:61" x14ac:dyDescent="0.2">
      <c r="A240" t="s">
        <v>738</v>
      </c>
      <c r="B240" t="s">
        <v>739</v>
      </c>
      <c r="C240" t="s">
        <v>740</v>
      </c>
      <c r="D240" t="s">
        <v>372</v>
      </c>
      <c r="E240" s="1" t="s">
        <v>8</v>
      </c>
      <c r="F240" s="1" t="s">
        <v>140</v>
      </c>
      <c r="G240" t="s">
        <v>741</v>
      </c>
      <c r="H240" t="s">
        <v>155</v>
      </c>
      <c r="K240">
        <v>2.4</v>
      </c>
      <c r="N240">
        <v>55.2</v>
      </c>
      <c r="S240">
        <v>0.42</v>
      </c>
      <c r="T240" t="s">
        <v>155</v>
      </c>
      <c r="W240">
        <v>27.8</v>
      </c>
      <c r="Z240" t="s">
        <v>155</v>
      </c>
      <c r="AC240" t="s">
        <v>155</v>
      </c>
      <c r="AF240" t="s">
        <v>155</v>
      </c>
      <c r="AI240">
        <v>67.400000000000006</v>
      </c>
      <c r="AL240" t="s">
        <v>155</v>
      </c>
      <c r="AO240" t="s">
        <v>155</v>
      </c>
      <c r="AR240" t="s">
        <v>155</v>
      </c>
      <c r="AU240" t="s">
        <v>155</v>
      </c>
      <c r="AX240" t="s">
        <v>155</v>
      </c>
      <c r="BA240" t="s">
        <v>155</v>
      </c>
      <c r="BD240" t="s">
        <v>155</v>
      </c>
      <c r="BG240" t="s">
        <v>155</v>
      </c>
    </row>
    <row r="241" spans="1:61" x14ac:dyDescent="0.2">
      <c r="A241" t="s">
        <v>742</v>
      </c>
      <c r="B241" t="s">
        <v>743</v>
      </c>
      <c r="C241" t="s">
        <v>129</v>
      </c>
      <c r="D241" t="s">
        <v>128</v>
      </c>
      <c r="E241" s="1" t="s">
        <v>168</v>
      </c>
      <c r="F241" s="1" t="s">
        <v>140</v>
      </c>
      <c r="G241" t="s">
        <v>744</v>
      </c>
      <c r="H241" t="s">
        <v>155</v>
      </c>
      <c r="K241">
        <v>4</v>
      </c>
      <c r="N241">
        <v>28</v>
      </c>
      <c r="S241">
        <v>16</v>
      </c>
      <c r="T241" t="s">
        <v>155</v>
      </c>
      <c r="W241">
        <v>64</v>
      </c>
      <c r="Z241" t="s">
        <v>155</v>
      </c>
      <c r="AC241" t="s">
        <v>155</v>
      </c>
      <c r="AF241" t="s">
        <v>155</v>
      </c>
      <c r="AI241">
        <v>22</v>
      </c>
      <c r="AL241" t="s">
        <v>155</v>
      </c>
      <c r="AO241" t="s">
        <v>155</v>
      </c>
      <c r="AR241" t="s">
        <v>155</v>
      </c>
      <c r="AU241" t="s">
        <v>155</v>
      </c>
      <c r="AX241" t="s">
        <v>155</v>
      </c>
      <c r="BA241" t="s">
        <v>155</v>
      </c>
      <c r="BD241" t="s">
        <v>155</v>
      </c>
      <c r="BI241">
        <v>1</v>
      </c>
    </row>
    <row r="242" spans="1:61" x14ac:dyDescent="0.2">
      <c r="A242" s="10" t="s">
        <v>745</v>
      </c>
      <c r="B242" s="10" t="s">
        <v>746</v>
      </c>
      <c r="C242" s="10" t="s">
        <v>291</v>
      </c>
      <c r="D242" s="10" t="s">
        <v>292</v>
      </c>
      <c r="E242" s="11" t="s">
        <v>8</v>
      </c>
      <c r="F242" s="11" t="s">
        <v>153</v>
      </c>
      <c r="G242" s="10" t="s">
        <v>747</v>
      </c>
      <c r="H242">
        <v>7600</v>
      </c>
      <c r="L242" s="16">
        <f>(2.3*1.74)</f>
        <v>4.0019999999999998</v>
      </c>
      <c r="O242" s="16">
        <f>(35*3.99)</f>
        <v>139.65</v>
      </c>
      <c r="S242">
        <v>1.5</v>
      </c>
      <c r="T242">
        <v>5800</v>
      </c>
      <c r="X242" s="16">
        <f>(6.5*1.29)</f>
        <v>8.3849999999999998</v>
      </c>
      <c r="AA242" s="16">
        <f>(0.56*1.25)</f>
        <v>0.70000000000000007</v>
      </c>
      <c r="AD242" s="16">
        <f>(3.8*1.22)</f>
        <v>4.6360000000000001</v>
      </c>
      <c r="AF242">
        <v>5500</v>
      </c>
      <c r="AJ242" s="16">
        <f>(13*1.44)</f>
        <v>18.72</v>
      </c>
      <c r="AM242" s="16">
        <f>(230*1.23)</f>
        <v>282.89999999999998</v>
      </c>
      <c r="AP242" s="16">
        <f>(16*1.24)</f>
        <v>19.84</v>
      </c>
      <c r="AT242">
        <v>2.2999999999999998</v>
      </c>
      <c r="AV242" s="16">
        <f>(340*17.49)</f>
        <v>5946.5999999999995</v>
      </c>
      <c r="AZ242">
        <v>410</v>
      </c>
      <c r="BB242" s="16">
        <f>(13*1.34)</f>
        <v>17.420000000000002</v>
      </c>
      <c r="BF242">
        <v>18</v>
      </c>
      <c r="BI242">
        <v>0.3</v>
      </c>
    </row>
    <row r="243" spans="1:61" x14ac:dyDescent="0.2">
      <c r="A243" s="10" t="s">
        <v>745</v>
      </c>
      <c r="B243" s="10" t="s">
        <v>746</v>
      </c>
      <c r="C243" s="10" t="s">
        <v>291</v>
      </c>
      <c r="D243" s="10" t="s">
        <v>292</v>
      </c>
      <c r="E243" s="11" t="s">
        <v>8</v>
      </c>
      <c r="F243" s="11" t="s">
        <v>153</v>
      </c>
      <c r="G243" s="10" t="s">
        <v>748</v>
      </c>
      <c r="H243">
        <v>45000</v>
      </c>
      <c r="K243">
        <v>12</v>
      </c>
      <c r="O243" s="16">
        <f>(93*3.99)</f>
        <v>371.07</v>
      </c>
      <c r="R243" s="16">
        <f>(0.73*1.41)</f>
        <v>1.0292999999999999</v>
      </c>
      <c r="T243">
        <v>5800</v>
      </c>
      <c r="X243" s="16">
        <f>(21*1.29)</f>
        <v>27.09</v>
      </c>
      <c r="AA243" s="16">
        <f>(3*1.25)</f>
        <v>3.75</v>
      </c>
      <c r="AD243" s="16">
        <f>(9.4*1.22)</f>
        <v>11.468</v>
      </c>
      <c r="AF243">
        <v>35000</v>
      </c>
      <c r="AJ243" s="16">
        <f>(31*1.44)</f>
        <v>44.64</v>
      </c>
      <c r="AM243" s="16">
        <f>(670*1.23)</f>
        <v>824.1</v>
      </c>
      <c r="AP243" s="16">
        <f>(31*1.24)</f>
        <v>38.44</v>
      </c>
      <c r="AT243">
        <v>8.5</v>
      </c>
      <c r="AV243" s="16">
        <f>(550*17.49)</f>
        <v>9619.5</v>
      </c>
      <c r="AZ243">
        <v>620</v>
      </c>
      <c r="BB243" s="16">
        <f>(76*1.34)</f>
        <v>101.84</v>
      </c>
      <c r="BE243" s="16">
        <f>(48*1.5)</f>
        <v>72</v>
      </c>
      <c r="BI243">
        <v>0.65</v>
      </c>
    </row>
    <row r="244" spans="1:61" x14ac:dyDescent="0.2">
      <c r="A244" t="s">
        <v>749</v>
      </c>
      <c r="B244" t="s">
        <v>750</v>
      </c>
      <c r="C244" t="s">
        <v>736</v>
      </c>
      <c r="D244" t="s">
        <v>135</v>
      </c>
      <c r="E244" s="1" t="s">
        <v>8</v>
      </c>
      <c r="F244" s="1" t="s">
        <v>141</v>
      </c>
      <c r="G244" t="s">
        <v>694</v>
      </c>
      <c r="H244" t="s">
        <v>155</v>
      </c>
      <c r="K244">
        <v>1.8</v>
      </c>
      <c r="N244">
        <v>47</v>
      </c>
      <c r="Q244">
        <v>2</v>
      </c>
      <c r="T244" t="s">
        <v>155</v>
      </c>
      <c r="W244">
        <v>21</v>
      </c>
      <c r="Z244" t="s">
        <v>155</v>
      </c>
      <c r="AC244" t="s">
        <v>155</v>
      </c>
      <c r="AF244" t="s">
        <v>155</v>
      </c>
      <c r="AI244">
        <v>370</v>
      </c>
      <c r="AL244" t="s">
        <v>155</v>
      </c>
      <c r="AO244" t="s">
        <v>155</v>
      </c>
      <c r="AR244" t="s">
        <v>155</v>
      </c>
      <c r="AU244" t="s">
        <v>155</v>
      </c>
      <c r="AX244" t="s">
        <v>155</v>
      </c>
      <c r="BA244" t="s">
        <v>155</v>
      </c>
      <c r="BD244">
        <v>35</v>
      </c>
      <c r="BI244">
        <v>0.05</v>
      </c>
    </row>
    <row r="245" spans="1:61" x14ac:dyDescent="0.2">
      <c r="A245" t="s">
        <v>749</v>
      </c>
      <c r="B245" t="s">
        <v>750</v>
      </c>
      <c r="C245" t="s">
        <v>180</v>
      </c>
      <c r="D245" t="s">
        <v>135</v>
      </c>
      <c r="E245" s="1" t="s">
        <v>8</v>
      </c>
      <c r="F245" s="1" t="s">
        <v>141</v>
      </c>
      <c r="G245" t="s">
        <v>751</v>
      </c>
      <c r="H245" t="s">
        <v>155</v>
      </c>
      <c r="K245">
        <v>2.2000000000000002</v>
      </c>
      <c r="N245">
        <v>20</v>
      </c>
      <c r="Q245">
        <v>2.5</v>
      </c>
      <c r="T245" t="s">
        <v>155</v>
      </c>
      <c r="W245">
        <v>1.9</v>
      </c>
      <c r="Z245" t="s">
        <v>155</v>
      </c>
      <c r="AC245" t="s">
        <v>155</v>
      </c>
      <c r="AF245" t="s">
        <v>155</v>
      </c>
      <c r="AI245">
        <v>11</v>
      </c>
      <c r="AL245" t="s">
        <v>155</v>
      </c>
      <c r="AO245" t="s">
        <v>155</v>
      </c>
      <c r="AR245" t="s">
        <v>155</v>
      </c>
      <c r="AU245" t="s">
        <v>155</v>
      </c>
      <c r="AX245" t="s">
        <v>155</v>
      </c>
      <c r="BA245" t="s">
        <v>155</v>
      </c>
      <c r="BD245">
        <v>9.3000000000000007</v>
      </c>
      <c r="BI245">
        <v>0.05</v>
      </c>
    </row>
    <row r="246" spans="1:61" x14ac:dyDescent="0.2">
      <c r="A246" t="s">
        <v>749</v>
      </c>
      <c r="B246" t="s">
        <v>750</v>
      </c>
      <c r="C246" t="s">
        <v>736</v>
      </c>
      <c r="D246" t="s">
        <v>135</v>
      </c>
      <c r="E246" s="1" t="s">
        <v>8</v>
      </c>
      <c r="F246" s="1" t="s">
        <v>153</v>
      </c>
      <c r="G246" t="s">
        <v>752</v>
      </c>
      <c r="H246" t="s">
        <v>155</v>
      </c>
      <c r="M246">
        <v>0.25</v>
      </c>
      <c r="N246">
        <v>18</v>
      </c>
      <c r="Q246">
        <v>0.48</v>
      </c>
      <c r="T246" t="s">
        <v>155</v>
      </c>
      <c r="W246">
        <v>10</v>
      </c>
      <c r="Z246" t="s">
        <v>155</v>
      </c>
      <c r="AC246" t="s">
        <v>155</v>
      </c>
      <c r="AF246" t="s">
        <v>155</v>
      </c>
      <c r="AI246">
        <v>16</v>
      </c>
      <c r="AL246" t="s">
        <v>155</v>
      </c>
      <c r="AO246" t="s">
        <v>155</v>
      </c>
      <c r="AR246" t="s">
        <v>155</v>
      </c>
      <c r="AU246" t="s">
        <v>155</v>
      </c>
      <c r="AX246" t="s">
        <v>155</v>
      </c>
      <c r="BA246" t="s">
        <v>155</v>
      </c>
      <c r="BD246">
        <v>40</v>
      </c>
      <c r="BI246">
        <v>0.04</v>
      </c>
    </row>
    <row r="247" spans="1:61" x14ac:dyDescent="0.2">
      <c r="A247" t="s">
        <v>749</v>
      </c>
      <c r="B247" t="s">
        <v>750</v>
      </c>
      <c r="C247" t="s">
        <v>180</v>
      </c>
      <c r="D247" t="s">
        <v>135</v>
      </c>
      <c r="E247" s="1" t="s">
        <v>8</v>
      </c>
      <c r="F247" s="1" t="s">
        <v>153</v>
      </c>
      <c r="G247" t="s">
        <v>753</v>
      </c>
      <c r="H247" t="s">
        <v>155</v>
      </c>
      <c r="K247">
        <v>0.76</v>
      </c>
      <c r="N247">
        <v>18</v>
      </c>
      <c r="Q247">
        <v>0.57999999999999996</v>
      </c>
      <c r="T247" t="s">
        <v>155</v>
      </c>
      <c r="W247">
        <v>12</v>
      </c>
      <c r="Z247" t="s">
        <v>155</v>
      </c>
      <c r="AC247" t="s">
        <v>155</v>
      </c>
      <c r="AF247" t="s">
        <v>155</v>
      </c>
      <c r="AI247">
        <v>6.5</v>
      </c>
      <c r="AL247" t="s">
        <v>155</v>
      </c>
      <c r="AO247" t="s">
        <v>155</v>
      </c>
      <c r="AR247" t="s">
        <v>155</v>
      </c>
      <c r="AU247" t="s">
        <v>155</v>
      </c>
      <c r="AX247" t="s">
        <v>155</v>
      </c>
      <c r="BA247" t="s">
        <v>155</v>
      </c>
      <c r="BD247">
        <v>27</v>
      </c>
      <c r="BI247">
        <v>0.04</v>
      </c>
    </row>
    <row r="248" spans="1:61" x14ac:dyDescent="0.2">
      <c r="A248" t="s">
        <v>754</v>
      </c>
      <c r="B248" t="s">
        <v>755</v>
      </c>
      <c r="C248" t="s">
        <v>756</v>
      </c>
      <c r="D248" t="s">
        <v>661</v>
      </c>
      <c r="E248" s="1" t="s">
        <v>8</v>
      </c>
      <c r="F248" s="1" t="s">
        <v>140</v>
      </c>
      <c r="G248" t="s">
        <v>757</v>
      </c>
      <c r="H248">
        <v>16000</v>
      </c>
      <c r="K248">
        <v>7.2</v>
      </c>
      <c r="N248">
        <v>130</v>
      </c>
      <c r="Q248" t="s">
        <v>155</v>
      </c>
      <c r="T248">
        <v>2600</v>
      </c>
      <c r="X248" s="16">
        <f>(56*1.29)</f>
        <v>72.240000000000009</v>
      </c>
      <c r="Z248">
        <v>18</v>
      </c>
      <c r="AC248">
        <v>33</v>
      </c>
      <c r="AF248">
        <v>37000</v>
      </c>
      <c r="AI248">
        <v>110</v>
      </c>
      <c r="AL248">
        <v>2400</v>
      </c>
      <c r="AO248">
        <v>1400</v>
      </c>
      <c r="AR248">
        <v>12</v>
      </c>
      <c r="AW248">
        <v>800</v>
      </c>
      <c r="AZ248">
        <v>400</v>
      </c>
      <c r="BA248">
        <v>110</v>
      </c>
      <c r="BD248">
        <v>160</v>
      </c>
      <c r="BI248">
        <v>0.05</v>
      </c>
    </row>
    <row r="249" spans="1:61" x14ac:dyDescent="0.2">
      <c r="A249" t="s">
        <v>754</v>
      </c>
      <c r="B249" t="s">
        <v>755</v>
      </c>
      <c r="C249" t="s">
        <v>756</v>
      </c>
      <c r="D249" t="s">
        <v>661</v>
      </c>
      <c r="E249" s="1" t="s">
        <v>8</v>
      </c>
      <c r="F249" s="1" t="s">
        <v>141</v>
      </c>
      <c r="G249" t="s">
        <v>758</v>
      </c>
      <c r="H249">
        <v>7400</v>
      </c>
      <c r="K249" t="s">
        <v>155</v>
      </c>
      <c r="N249">
        <v>72</v>
      </c>
      <c r="Q249" t="s">
        <v>155</v>
      </c>
      <c r="T249">
        <v>2400</v>
      </c>
      <c r="X249" s="16">
        <f>(7.2*1.29)</f>
        <v>9.2880000000000003</v>
      </c>
      <c r="Z249">
        <v>14</v>
      </c>
      <c r="AC249">
        <v>14</v>
      </c>
      <c r="AF249">
        <v>16000</v>
      </c>
      <c r="AI249">
        <v>4.3</v>
      </c>
      <c r="AL249">
        <v>2400</v>
      </c>
      <c r="AO249">
        <v>170</v>
      </c>
      <c r="AR249">
        <v>6.5</v>
      </c>
      <c r="AU249" t="s">
        <v>155</v>
      </c>
      <c r="AX249" t="s">
        <v>155</v>
      </c>
      <c r="BA249">
        <v>23</v>
      </c>
      <c r="BD249">
        <v>43</v>
      </c>
      <c r="BG249" t="s">
        <v>155</v>
      </c>
    </row>
    <row r="250" spans="1:61" x14ac:dyDescent="0.2">
      <c r="A250" t="s">
        <v>759</v>
      </c>
      <c r="B250" t="s">
        <v>760</v>
      </c>
      <c r="C250" t="s">
        <v>761</v>
      </c>
      <c r="D250" t="s">
        <v>762</v>
      </c>
      <c r="F250" s="1" t="s">
        <v>140</v>
      </c>
      <c r="G250" t="s">
        <v>763</v>
      </c>
      <c r="H250">
        <v>378</v>
      </c>
      <c r="M250">
        <v>0.79</v>
      </c>
      <c r="P250">
        <v>2</v>
      </c>
      <c r="S250">
        <v>0.42</v>
      </c>
      <c r="T250">
        <v>74</v>
      </c>
      <c r="W250">
        <v>1.7</v>
      </c>
      <c r="AB250">
        <v>2.1</v>
      </c>
      <c r="AE250">
        <v>1</v>
      </c>
      <c r="AF250">
        <v>940</v>
      </c>
      <c r="AI250">
        <v>1.9</v>
      </c>
      <c r="AL250">
        <v>96</v>
      </c>
      <c r="AO250">
        <v>7.4</v>
      </c>
      <c r="AT250">
        <v>2.1</v>
      </c>
      <c r="AU250">
        <v>74</v>
      </c>
      <c r="AZ250">
        <v>1</v>
      </c>
      <c r="BC250">
        <v>1.3</v>
      </c>
      <c r="BD250">
        <v>3.3</v>
      </c>
      <c r="BI250">
        <v>8.3000000000000004E-2</v>
      </c>
    </row>
    <row r="251" spans="1:61" x14ac:dyDescent="0.2">
      <c r="A251" t="s">
        <v>745</v>
      </c>
      <c r="B251" t="s">
        <v>746</v>
      </c>
      <c r="C251" t="s">
        <v>764</v>
      </c>
      <c r="D251" t="s">
        <v>292</v>
      </c>
      <c r="E251" s="1" t="s">
        <v>8</v>
      </c>
      <c r="F251" s="1" t="s">
        <v>140</v>
      </c>
      <c r="G251" t="s">
        <v>693</v>
      </c>
      <c r="H251" t="s">
        <v>155</v>
      </c>
      <c r="K251" t="s">
        <v>155</v>
      </c>
      <c r="N251" t="s">
        <v>155</v>
      </c>
      <c r="Q251" t="s">
        <v>155</v>
      </c>
      <c r="T251" t="s">
        <v>155</v>
      </c>
      <c r="W251" t="s">
        <v>155</v>
      </c>
      <c r="Z251" t="s">
        <v>155</v>
      </c>
      <c r="AC251" t="s">
        <v>155</v>
      </c>
      <c r="AF251" t="s">
        <v>155</v>
      </c>
      <c r="AI251">
        <v>5.61</v>
      </c>
      <c r="AL251" t="s">
        <v>155</v>
      </c>
      <c r="AO251" t="s">
        <v>155</v>
      </c>
      <c r="AR251" t="s">
        <v>155</v>
      </c>
      <c r="AU251" t="s">
        <v>155</v>
      </c>
      <c r="AX251" t="s">
        <v>155</v>
      </c>
      <c r="BA251" t="s">
        <v>155</v>
      </c>
      <c r="BD251" t="s">
        <v>155</v>
      </c>
      <c r="BG251" t="s">
        <v>155</v>
      </c>
    </row>
    <row r="252" spans="1:61" x14ac:dyDescent="0.2">
      <c r="A252" t="s">
        <v>745</v>
      </c>
      <c r="B252" t="s">
        <v>746</v>
      </c>
      <c r="C252" t="s">
        <v>764</v>
      </c>
      <c r="D252" t="s">
        <v>292</v>
      </c>
      <c r="E252" s="1" t="s">
        <v>8</v>
      </c>
      <c r="F252" s="1" t="s">
        <v>140</v>
      </c>
      <c r="G252" t="s">
        <v>694</v>
      </c>
      <c r="H252" t="s">
        <v>155</v>
      </c>
      <c r="K252" t="s">
        <v>155</v>
      </c>
      <c r="N252" t="s">
        <v>155</v>
      </c>
      <c r="Q252" t="s">
        <v>155</v>
      </c>
      <c r="T252" t="s">
        <v>155</v>
      </c>
      <c r="W252" t="s">
        <v>155</v>
      </c>
      <c r="Z252" t="s">
        <v>155</v>
      </c>
      <c r="AC252" t="s">
        <v>155</v>
      </c>
      <c r="AF252" t="s">
        <v>155</v>
      </c>
      <c r="AI252">
        <v>10.5</v>
      </c>
      <c r="AL252" t="s">
        <v>155</v>
      </c>
      <c r="AO252" t="s">
        <v>155</v>
      </c>
      <c r="AR252" t="s">
        <v>155</v>
      </c>
      <c r="AU252" t="s">
        <v>155</v>
      </c>
      <c r="AX252" t="s">
        <v>155</v>
      </c>
      <c r="BA252" t="s">
        <v>155</v>
      </c>
      <c r="BD252" t="s">
        <v>155</v>
      </c>
      <c r="BG252" t="s">
        <v>155</v>
      </c>
    </row>
    <row r="253" spans="1:61" x14ac:dyDescent="0.2">
      <c r="A253" t="s">
        <v>745</v>
      </c>
      <c r="B253" t="s">
        <v>746</v>
      </c>
      <c r="C253" t="s">
        <v>764</v>
      </c>
      <c r="D253" t="s">
        <v>292</v>
      </c>
      <c r="E253" s="1" t="s">
        <v>8</v>
      </c>
      <c r="F253" s="1" t="s">
        <v>140</v>
      </c>
      <c r="G253" t="s">
        <v>751</v>
      </c>
      <c r="H253" t="s">
        <v>155</v>
      </c>
      <c r="K253" t="s">
        <v>155</v>
      </c>
      <c r="N253" t="s">
        <v>155</v>
      </c>
      <c r="Q253" t="s">
        <v>155</v>
      </c>
      <c r="T253" t="s">
        <v>155</v>
      </c>
      <c r="W253" t="s">
        <v>155</v>
      </c>
      <c r="Z253" t="s">
        <v>155</v>
      </c>
      <c r="AC253" t="s">
        <v>155</v>
      </c>
      <c r="AF253" t="s">
        <v>155</v>
      </c>
      <c r="AI253">
        <v>3.44</v>
      </c>
      <c r="AL253" t="s">
        <v>155</v>
      </c>
      <c r="AO253" t="s">
        <v>155</v>
      </c>
      <c r="AR253" t="s">
        <v>155</v>
      </c>
      <c r="AU253" t="s">
        <v>155</v>
      </c>
      <c r="AX253" t="s">
        <v>155</v>
      </c>
      <c r="BA253" t="s">
        <v>155</v>
      </c>
      <c r="BD253" t="s">
        <v>155</v>
      </c>
      <c r="BG253" t="s">
        <v>155</v>
      </c>
    </row>
    <row r="254" spans="1:61" x14ac:dyDescent="0.2">
      <c r="A254" t="s">
        <v>745</v>
      </c>
      <c r="B254" t="s">
        <v>746</v>
      </c>
      <c r="C254" t="s">
        <v>291</v>
      </c>
      <c r="D254" t="s">
        <v>292</v>
      </c>
      <c r="E254" s="1" t="s">
        <v>8</v>
      </c>
      <c r="F254" s="1" t="s">
        <v>140</v>
      </c>
      <c r="G254" t="s">
        <v>765</v>
      </c>
      <c r="H254" t="s">
        <v>155</v>
      </c>
      <c r="K254" t="s">
        <v>155</v>
      </c>
      <c r="N254" t="s">
        <v>155</v>
      </c>
      <c r="Q254" t="s">
        <v>155</v>
      </c>
      <c r="T254" t="s">
        <v>155</v>
      </c>
      <c r="W254" t="s">
        <v>155</v>
      </c>
      <c r="Z254" t="s">
        <v>155</v>
      </c>
      <c r="AC254" t="s">
        <v>155</v>
      </c>
      <c r="AF254" t="s">
        <v>155</v>
      </c>
      <c r="AI254">
        <v>11.7</v>
      </c>
      <c r="AL254" t="s">
        <v>155</v>
      </c>
      <c r="AO254" t="s">
        <v>155</v>
      </c>
      <c r="AR254" t="s">
        <v>155</v>
      </c>
      <c r="AU254" t="s">
        <v>155</v>
      </c>
      <c r="AX254" t="s">
        <v>155</v>
      </c>
      <c r="BA254" t="s">
        <v>155</v>
      </c>
      <c r="BD254" t="s">
        <v>155</v>
      </c>
      <c r="BG254" t="s">
        <v>155</v>
      </c>
    </row>
    <row r="255" spans="1:61" x14ac:dyDescent="0.2">
      <c r="A255" t="s">
        <v>745</v>
      </c>
      <c r="B255" t="s">
        <v>746</v>
      </c>
      <c r="C255" t="s">
        <v>291</v>
      </c>
      <c r="D255" t="s">
        <v>292</v>
      </c>
      <c r="E255" s="1" t="s">
        <v>8</v>
      </c>
      <c r="F255" s="1" t="s">
        <v>140</v>
      </c>
      <c r="G255" t="s">
        <v>766</v>
      </c>
      <c r="H255" t="s">
        <v>155</v>
      </c>
      <c r="K255" t="s">
        <v>155</v>
      </c>
      <c r="N255" t="s">
        <v>155</v>
      </c>
      <c r="Q255" t="s">
        <v>155</v>
      </c>
      <c r="T255" t="s">
        <v>155</v>
      </c>
      <c r="W255" t="s">
        <v>155</v>
      </c>
      <c r="Z255" t="s">
        <v>155</v>
      </c>
      <c r="AC255" t="s">
        <v>155</v>
      </c>
      <c r="AF255" t="s">
        <v>155</v>
      </c>
      <c r="AI255">
        <v>59.3</v>
      </c>
      <c r="AL255" t="s">
        <v>155</v>
      </c>
      <c r="AO255" t="s">
        <v>155</v>
      </c>
      <c r="AR255" t="s">
        <v>155</v>
      </c>
      <c r="AU255" t="s">
        <v>155</v>
      </c>
      <c r="AX255" t="s">
        <v>155</v>
      </c>
      <c r="BA255" t="s">
        <v>155</v>
      </c>
      <c r="BD255" t="s">
        <v>155</v>
      </c>
      <c r="BG255" t="s">
        <v>155</v>
      </c>
    </row>
    <row r="256" spans="1:61" x14ac:dyDescent="0.2">
      <c r="A256" t="s">
        <v>767</v>
      </c>
      <c r="B256" t="s">
        <v>768</v>
      </c>
      <c r="C256" t="s">
        <v>725</v>
      </c>
      <c r="D256" t="s">
        <v>434</v>
      </c>
      <c r="E256" s="1" t="s">
        <v>168</v>
      </c>
      <c r="F256" s="1" t="s">
        <v>140</v>
      </c>
      <c r="G256" t="s">
        <v>769</v>
      </c>
      <c r="H256" t="s">
        <v>155</v>
      </c>
      <c r="K256">
        <v>7.4</v>
      </c>
      <c r="N256" t="s">
        <v>155</v>
      </c>
      <c r="Q256" t="s">
        <v>155</v>
      </c>
      <c r="T256" t="s">
        <v>155</v>
      </c>
      <c r="W256">
        <v>6.4</v>
      </c>
      <c r="Z256" t="s">
        <v>155</v>
      </c>
      <c r="AC256" t="s">
        <v>155</v>
      </c>
      <c r="AF256" t="s">
        <v>155</v>
      </c>
      <c r="AI256" t="s">
        <v>155</v>
      </c>
      <c r="AL256" t="s">
        <v>155</v>
      </c>
      <c r="AO256">
        <v>130</v>
      </c>
      <c r="AR256" t="s">
        <v>155</v>
      </c>
      <c r="AU256" t="s">
        <v>155</v>
      </c>
      <c r="AX256" t="s">
        <v>155</v>
      </c>
      <c r="BA256" t="s">
        <v>155</v>
      </c>
      <c r="BD256" t="s">
        <v>155</v>
      </c>
      <c r="BG256" t="s">
        <v>155</v>
      </c>
    </row>
    <row r="257" spans="1:61" x14ac:dyDescent="0.2">
      <c r="A257" t="s">
        <v>770</v>
      </c>
      <c r="B257" t="s">
        <v>771</v>
      </c>
      <c r="C257" t="s">
        <v>626</v>
      </c>
      <c r="D257" t="s">
        <v>627</v>
      </c>
      <c r="E257" s="1" t="s">
        <v>8</v>
      </c>
      <c r="F257" s="1" t="s">
        <v>140</v>
      </c>
      <c r="G257" t="s">
        <v>772</v>
      </c>
      <c r="H257" t="s">
        <v>155</v>
      </c>
      <c r="K257" t="s">
        <v>155</v>
      </c>
      <c r="N257" t="s">
        <v>155</v>
      </c>
      <c r="Q257">
        <v>0.7</v>
      </c>
      <c r="T257" t="s">
        <v>155</v>
      </c>
      <c r="W257">
        <v>8.1</v>
      </c>
      <c r="Z257" t="s">
        <v>155</v>
      </c>
      <c r="AC257" t="s">
        <v>155</v>
      </c>
      <c r="AF257" t="s">
        <v>155</v>
      </c>
      <c r="AI257">
        <v>19</v>
      </c>
      <c r="AL257" t="s">
        <v>155</v>
      </c>
      <c r="AO257" t="s">
        <v>155</v>
      </c>
      <c r="AR257">
        <v>7</v>
      </c>
      <c r="AU257" t="s">
        <v>155</v>
      </c>
      <c r="AX257" t="s">
        <v>155</v>
      </c>
      <c r="BA257" t="s">
        <v>155</v>
      </c>
      <c r="BD257">
        <v>16</v>
      </c>
      <c r="BG257" t="s">
        <v>155</v>
      </c>
    </row>
    <row r="258" spans="1:61" x14ac:dyDescent="0.2">
      <c r="A258" t="s">
        <v>770</v>
      </c>
      <c r="B258" t="s">
        <v>773</v>
      </c>
      <c r="C258" t="s">
        <v>626</v>
      </c>
      <c r="D258" t="s">
        <v>627</v>
      </c>
      <c r="E258" s="1" t="s">
        <v>8</v>
      </c>
      <c r="F258" s="1" t="s">
        <v>140</v>
      </c>
      <c r="G258" t="s">
        <v>774</v>
      </c>
      <c r="H258" t="s">
        <v>155</v>
      </c>
      <c r="K258" t="s">
        <v>155</v>
      </c>
      <c r="N258" t="s">
        <v>155</v>
      </c>
      <c r="Q258" t="s">
        <v>155</v>
      </c>
      <c r="T258" t="s">
        <v>155</v>
      </c>
      <c r="W258">
        <v>22</v>
      </c>
      <c r="Z258">
        <v>36</v>
      </c>
      <c r="AC258" t="s">
        <v>155</v>
      </c>
      <c r="AF258" t="s">
        <v>155</v>
      </c>
      <c r="AI258">
        <v>22</v>
      </c>
      <c r="AL258" t="s">
        <v>155</v>
      </c>
      <c r="AO258" t="s">
        <v>155</v>
      </c>
      <c r="AR258">
        <v>16</v>
      </c>
      <c r="AU258" t="s">
        <v>155</v>
      </c>
      <c r="AX258" t="s">
        <v>155</v>
      </c>
      <c r="BA258" t="s">
        <v>155</v>
      </c>
      <c r="BD258">
        <v>62</v>
      </c>
      <c r="BG258" t="s">
        <v>155</v>
      </c>
    </row>
    <row r="259" spans="1:61" x14ac:dyDescent="0.2">
      <c r="A259" t="s">
        <v>775</v>
      </c>
      <c r="B259" t="s">
        <v>776</v>
      </c>
      <c r="C259" t="s">
        <v>777</v>
      </c>
      <c r="D259" t="s">
        <v>204</v>
      </c>
      <c r="E259" s="1" t="s">
        <v>8</v>
      </c>
      <c r="F259" s="1" t="s">
        <v>140</v>
      </c>
      <c r="G259" t="s">
        <v>417</v>
      </c>
      <c r="H259" t="s">
        <v>155</v>
      </c>
      <c r="M259">
        <v>2</v>
      </c>
      <c r="N259">
        <v>220</v>
      </c>
      <c r="S259">
        <v>16</v>
      </c>
      <c r="T259" t="s">
        <v>155</v>
      </c>
      <c r="W259">
        <v>23</v>
      </c>
      <c r="Z259" t="s">
        <v>155</v>
      </c>
      <c r="AC259" t="s">
        <v>155</v>
      </c>
      <c r="AF259" t="s">
        <v>155</v>
      </c>
      <c r="AI259">
        <v>31</v>
      </c>
      <c r="AL259" t="s">
        <v>155</v>
      </c>
      <c r="AO259" t="s">
        <v>155</v>
      </c>
      <c r="AR259" t="s">
        <v>155</v>
      </c>
      <c r="AU259" t="s">
        <v>155</v>
      </c>
      <c r="AX259" t="s">
        <v>155</v>
      </c>
      <c r="BA259" t="s">
        <v>155</v>
      </c>
      <c r="BD259" t="s">
        <v>155</v>
      </c>
      <c r="BI259">
        <v>0.1</v>
      </c>
    </row>
    <row r="260" spans="1:61" x14ac:dyDescent="0.2">
      <c r="A260" t="s">
        <v>778</v>
      </c>
      <c r="B260" t="s">
        <v>779</v>
      </c>
      <c r="C260" t="s">
        <v>420</v>
      </c>
      <c r="D260" t="s">
        <v>132</v>
      </c>
      <c r="E260" s="1" t="s">
        <v>8</v>
      </c>
      <c r="F260" s="1" t="s">
        <v>140</v>
      </c>
      <c r="G260">
        <v>37</v>
      </c>
      <c r="H260" t="s">
        <v>155</v>
      </c>
      <c r="K260">
        <v>3</v>
      </c>
      <c r="N260">
        <v>234</v>
      </c>
      <c r="Q260">
        <v>4</v>
      </c>
      <c r="T260" t="s">
        <v>155</v>
      </c>
      <c r="W260">
        <v>136</v>
      </c>
      <c r="Z260" t="s">
        <v>155</v>
      </c>
      <c r="AC260" t="s">
        <v>155</v>
      </c>
      <c r="AF260" t="s">
        <v>155</v>
      </c>
      <c r="AI260">
        <v>466</v>
      </c>
      <c r="AL260">
        <v>1.5</v>
      </c>
      <c r="AO260" t="s">
        <v>155</v>
      </c>
      <c r="AR260" t="s">
        <v>155</v>
      </c>
      <c r="AU260" t="s">
        <v>155</v>
      </c>
      <c r="AX260" t="s">
        <v>155</v>
      </c>
      <c r="BA260" t="s">
        <v>155</v>
      </c>
      <c r="BD260" t="s">
        <v>155</v>
      </c>
      <c r="BG260">
        <v>1.5</v>
      </c>
    </row>
    <row r="261" spans="1:61" x14ac:dyDescent="0.2">
      <c r="A261" t="s">
        <v>780</v>
      </c>
      <c r="B261" t="s">
        <v>781</v>
      </c>
      <c r="C261" t="s">
        <v>782</v>
      </c>
      <c r="D261" t="s">
        <v>783</v>
      </c>
      <c r="E261" s="1" t="s">
        <v>8</v>
      </c>
      <c r="F261" s="1" t="s">
        <v>140</v>
      </c>
      <c r="G261" t="s">
        <v>690</v>
      </c>
      <c r="H261" t="s">
        <v>155</v>
      </c>
      <c r="L261" s="16">
        <f>(0.2*1.74)</f>
        <v>0.34800000000000003</v>
      </c>
      <c r="N261">
        <v>49.8</v>
      </c>
      <c r="Q261">
        <v>2E-3</v>
      </c>
      <c r="T261" t="s">
        <v>155</v>
      </c>
      <c r="W261">
        <v>2.6</v>
      </c>
      <c r="Z261">
        <v>3.4</v>
      </c>
      <c r="AC261" t="s">
        <v>155</v>
      </c>
      <c r="AF261" t="s">
        <v>155</v>
      </c>
      <c r="AI261">
        <v>5.2</v>
      </c>
      <c r="AL261" t="s">
        <v>155</v>
      </c>
      <c r="AO261">
        <v>203</v>
      </c>
      <c r="AR261" t="s">
        <v>155</v>
      </c>
      <c r="AU261" t="s">
        <v>155</v>
      </c>
      <c r="AX261" t="s">
        <v>155</v>
      </c>
      <c r="BA261" t="s">
        <v>155</v>
      </c>
      <c r="BD261" t="s">
        <v>155</v>
      </c>
      <c r="BG261" t="s">
        <v>155</v>
      </c>
    </row>
    <row r="262" spans="1:61" x14ac:dyDescent="0.2">
      <c r="A262" t="s">
        <v>780</v>
      </c>
      <c r="B262" t="s">
        <v>781</v>
      </c>
      <c r="C262" t="s">
        <v>782</v>
      </c>
      <c r="D262" t="s">
        <v>783</v>
      </c>
      <c r="E262" s="1" t="s">
        <v>8</v>
      </c>
      <c r="F262" s="1" t="s">
        <v>153</v>
      </c>
      <c r="G262" t="s">
        <v>349</v>
      </c>
      <c r="H262" t="s">
        <v>155</v>
      </c>
      <c r="M262">
        <v>4</v>
      </c>
      <c r="N262">
        <v>43</v>
      </c>
      <c r="S262">
        <v>16</v>
      </c>
      <c r="T262" t="s">
        <v>155</v>
      </c>
      <c r="Y262">
        <v>20</v>
      </c>
      <c r="Z262" t="s">
        <v>155</v>
      </c>
      <c r="AC262" t="s">
        <v>155</v>
      </c>
      <c r="AF262" t="s">
        <v>155</v>
      </c>
      <c r="AI262">
        <v>20</v>
      </c>
      <c r="AL262" t="s">
        <v>155</v>
      </c>
      <c r="AO262" t="s">
        <v>155</v>
      </c>
      <c r="AR262" t="s">
        <v>155</v>
      </c>
      <c r="AU262" t="s">
        <v>155</v>
      </c>
      <c r="AX262" t="s">
        <v>155</v>
      </c>
      <c r="BA262" t="s">
        <v>155</v>
      </c>
      <c r="BD262" t="s">
        <v>155</v>
      </c>
      <c r="BI262">
        <v>0.1</v>
      </c>
    </row>
    <row r="263" spans="1:61" x14ac:dyDescent="0.2">
      <c r="A263" s="10" t="s">
        <v>784</v>
      </c>
      <c r="B263" s="10" t="s">
        <v>785</v>
      </c>
      <c r="C263" s="10" t="s">
        <v>786</v>
      </c>
      <c r="D263" s="10" t="s">
        <v>373</v>
      </c>
      <c r="E263" s="11" t="s">
        <v>168</v>
      </c>
      <c r="F263" s="11" t="s">
        <v>140</v>
      </c>
      <c r="G263" s="10" t="s">
        <v>787</v>
      </c>
      <c r="H263">
        <v>21000</v>
      </c>
      <c r="M263">
        <v>20</v>
      </c>
      <c r="N263">
        <v>35</v>
      </c>
      <c r="R263" s="16">
        <f>(10*1.41)</f>
        <v>14.1</v>
      </c>
      <c r="V263">
        <v>70</v>
      </c>
      <c r="W263">
        <v>48</v>
      </c>
      <c r="Z263">
        <v>2.9</v>
      </c>
      <c r="AC263">
        <v>25</v>
      </c>
      <c r="AF263">
        <v>59000</v>
      </c>
      <c r="AJ263" s="16">
        <f>(22*1.44)</f>
        <v>31.68</v>
      </c>
      <c r="AL263">
        <v>4509</v>
      </c>
      <c r="AP263" s="16">
        <f>(18*1.24)</f>
        <v>22.32</v>
      </c>
      <c r="AT263">
        <v>2.9</v>
      </c>
      <c r="AU263">
        <v>600</v>
      </c>
      <c r="AZ263">
        <v>1.3</v>
      </c>
      <c r="BA263">
        <v>120</v>
      </c>
      <c r="BD263">
        <v>13</v>
      </c>
      <c r="BI263">
        <v>0.26</v>
      </c>
    </row>
    <row r="264" spans="1:61" x14ac:dyDescent="0.2">
      <c r="A264" t="s">
        <v>784</v>
      </c>
      <c r="B264" t="s">
        <v>785</v>
      </c>
      <c r="C264" t="s">
        <v>786</v>
      </c>
      <c r="D264" t="s">
        <v>373</v>
      </c>
      <c r="E264" s="1" t="s">
        <v>168</v>
      </c>
      <c r="F264" s="1" t="s">
        <v>140</v>
      </c>
      <c r="G264" t="s">
        <v>788</v>
      </c>
      <c r="H264" t="s">
        <v>155</v>
      </c>
      <c r="K264">
        <v>1992</v>
      </c>
      <c r="N264" t="s">
        <v>155</v>
      </c>
      <c r="Q264" t="s">
        <v>155</v>
      </c>
      <c r="T264" t="s">
        <v>155</v>
      </c>
      <c r="W264">
        <v>30</v>
      </c>
      <c r="Z264" t="s">
        <v>155</v>
      </c>
      <c r="AC264" t="s">
        <v>155</v>
      </c>
      <c r="AF264" t="s">
        <v>155</v>
      </c>
      <c r="AI264">
        <v>20</v>
      </c>
      <c r="AL264" t="s">
        <v>155</v>
      </c>
      <c r="AO264" t="s">
        <v>155</v>
      </c>
      <c r="AR264" t="s">
        <v>155</v>
      </c>
      <c r="AU264" t="s">
        <v>155</v>
      </c>
      <c r="AX264" t="s">
        <v>155</v>
      </c>
      <c r="BA264" t="s">
        <v>155</v>
      </c>
      <c r="BD264" t="s">
        <v>155</v>
      </c>
      <c r="BG264" t="s">
        <v>155</v>
      </c>
    </row>
    <row r="265" spans="1:61" x14ac:dyDescent="0.2">
      <c r="A265" t="s">
        <v>789</v>
      </c>
      <c r="B265" t="s">
        <v>790</v>
      </c>
      <c r="C265" t="s">
        <v>604</v>
      </c>
      <c r="D265" t="s">
        <v>216</v>
      </c>
      <c r="E265" s="1" t="s">
        <v>8</v>
      </c>
      <c r="F265" s="1" t="s">
        <v>141</v>
      </c>
      <c r="G265" t="s">
        <v>791</v>
      </c>
      <c r="H265" t="s">
        <v>155</v>
      </c>
      <c r="K265">
        <v>7.3</v>
      </c>
      <c r="N265" t="s">
        <v>155</v>
      </c>
      <c r="Q265" t="s">
        <v>155</v>
      </c>
      <c r="T265" t="s">
        <v>155</v>
      </c>
      <c r="W265">
        <v>19</v>
      </c>
      <c r="Z265" t="s">
        <v>155</v>
      </c>
      <c r="AC265">
        <v>40</v>
      </c>
      <c r="AF265" t="s">
        <v>155</v>
      </c>
      <c r="AI265">
        <v>15</v>
      </c>
      <c r="AL265" t="s">
        <v>155</v>
      </c>
      <c r="AO265">
        <v>420</v>
      </c>
      <c r="AR265">
        <v>20</v>
      </c>
      <c r="AU265" t="s">
        <v>155</v>
      </c>
      <c r="AX265" t="s">
        <v>155</v>
      </c>
      <c r="BA265" t="s">
        <v>155</v>
      </c>
      <c r="BD265">
        <v>58</v>
      </c>
      <c r="BG265" t="s">
        <v>155</v>
      </c>
    </row>
    <row r="266" spans="1:61" x14ac:dyDescent="0.2">
      <c r="A266" t="s">
        <v>789</v>
      </c>
      <c r="B266" t="s">
        <v>790</v>
      </c>
      <c r="C266" t="s">
        <v>604</v>
      </c>
      <c r="D266" t="s">
        <v>216</v>
      </c>
      <c r="E266" s="1" t="s">
        <v>8</v>
      </c>
      <c r="F266" s="1" t="s">
        <v>141</v>
      </c>
      <c r="G266" t="s">
        <v>792</v>
      </c>
      <c r="H266" t="s">
        <v>155</v>
      </c>
      <c r="K266">
        <v>12</v>
      </c>
      <c r="N266" t="s">
        <v>155</v>
      </c>
      <c r="Q266" t="s">
        <v>155</v>
      </c>
      <c r="T266" t="s">
        <v>155</v>
      </c>
      <c r="W266">
        <v>22</v>
      </c>
      <c r="Z266" t="s">
        <v>155</v>
      </c>
      <c r="AC266">
        <v>45</v>
      </c>
      <c r="AF266" t="s">
        <v>155</v>
      </c>
      <c r="AI266">
        <v>10</v>
      </c>
      <c r="AL266" t="s">
        <v>155</v>
      </c>
      <c r="AO266">
        <v>370</v>
      </c>
      <c r="AR266">
        <v>27</v>
      </c>
      <c r="AU266" t="s">
        <v>155</v>
      </c>
      <c r="AX266" t="s">
        <v>155</v>
      </c>
      <c r="BA266" t="s">
        <v>155</v>
      </c>
      <c r="BD266">
        <v>68</v>
      </c>
      <c r="BG266" t="s">
        <v>155</v>
      </c>
    </row>
    <row r="267" spans="1:61" x14ac:dyDescent="0.2">
      <c r="A267" t="s">
        <v>789</v>
      </c>
      <c r="B267" t="s">
        <v>790</v>
      </c>
      <c r="C267" t="s">
        <v>604</v>
      </c>
      <c r="D267" t="s">
        <v>216</v>
      </c>
      <c r="E267" s="1" t="s">
        <v>8</v>
      </c>
      <c r="F267" s="1" t="s">
        <v>141</v>
      </c>
      <c r="G267" t="s">
        <v>793</v>
      </c>
      <c r="H267" t="s">
        <v>155</v>
      </c>
      <c r="K267">
        <v>10</v>
      </c>
      <c r="N267" t="s">
        <v>155</v>
      </c>
      <c r="Q267" t="s">
        <v>155</v>
      </c>
      <c r="T267" t="s">
        <v>155</v>
      </c>
      <c r="W267">
        <v>29</v>
      </c>
      <c r="Z267" t="s">
        <v>155</v>
      </c>
      <c r="AC267">
        <v>45</v>
      </c>
      <c r="AF267" t="s">
        <v>155</v>
      </c>
      <c r="AI267">
        <v>12</v>
      </c>
      <c r="AL267" t="s">
        <v>155</v>
      </c>
      <c r="AO267">
        <v>620</v>
      </c>
      <c r="AR267">
        <v>33</v>
      </c>
      <c r="AU267" t="s">
        <v>155</v>
      </c>
      <c r="AX267" t="s">
        <v>155</v>
      </c>
      <c r="BA267" t="s">
        <v>155</v>
      </c>
      <c r="BD267">
        <v>110</v>
      </c>
      <c r="BG267" t="s">
        <v>155</v>
      </c>
    </row>
    <row r="268" spans="1:61" x14ac:dyDescent="0.2">
      <c r="A268" t="s">
        <v>789</v>
      </c>
      <c r="B268" t="s">
        <v>790</v>
      </c>
      <c r="C268" t="s">
        <v>604</v>
      </c>
      <c r="D268" t="s">
        <v>216</v>
      </c>
      <c r="E268" s="1" t="s">
        <v>8</v>
      </c>
      <c r="F268" s="1" t="s">
        <v>141</v>
      </c>
      <c r="G268" t="s">
        <v>794</v>
      </c>
      <c r="H268" t="s">
        <v>155</v>
      </c>
      <c r="K268">
        <v>5</v>
      </c>
      <c r="N268" t="s">
        <v>155</v>
      </c>
      <c r="Q268" t="s">
        <v>155</v>
      </c>
      <c r="T268" t="s">
        <v>155</v>
      </c>
      <c r="W268">
        <v>39</v>
      </c>
      <c r="Z268" t="s">
        <v>155</v>
      </c>
      <c r="AC268">
        <v>12</v>
      </c>
      <c r="AF268" s="13" t="s">
        <v>155</v>
      </c>
      <c r="AI268">
        <v>12</v>
      </c>
      <c r="AL268" t="s">
        <v>155</v>
      </c>
      <c r="AO268">
        <v>58</v>
      </c>
      <c r="AR268">
        <v>6</v>
      </c>
      <c r="AU268" t="s">
        <v>155</v>
      </c>
      <c r="AX268" t="s">
        <v>155</v>
      </c>
      <c r="BA268" t="s">
        <v>155</v>
      </c>
      <c r="BD268">
        <v>14</v>
      </c>
      <c r="BG268" t="s">
        <v>155</v>
      </c>
    </row>
    <row r="269" spans="1:61" x14ac:dyDescent="0.2">
      <c r="A269" t="s">
        <v>789</v>
      </c>
      <c r="B269" t="s">
        <v>790</v>
      </c>
      <c r="C269" t="s">
        <v>604</v>
      </c>
      <c r="D269" t="s">
        <v>216</v>
      </c>
      <c r="E269" s="1" t="s">
        <v>8</v>
      </c>
      <c r="F269" s="1" t="s">
        <v>141</v>
      </c>
      <c r="G269" t="s">
        <v>795</v>
      </c>
      <c r="H269" t="s">
        <v>155</v>
      </c>
      <c r="K269">
        <v>7</v>
      </c>
      <c r="N269" t="s">
        <v>155</v>
      </c>
      <c r="Q269" t="s">
        <v>155</v>
      </c>
      <c r="T269" t="s">
        <v>155</v>
      </c>
      <c r="W269">
        <v>36</v>
      </c>
      <c r="Z269" t="s">
        <v>155</v>
      </c>
      <c r="AC269">
        <v>48</v>
      </c>
      <c r="AF269" t="s">
        <v>155</v>
      </c>
      <c r="AI269">
        <v>14</v>
      </c>
      <c r="AL269" t="s">
        <v>155</v>
      </c>
      <c r="AO269">
        <v>130</v>
      </c>
      <c r="AR269">
        <v>32</v>
      </c>
      <c r="AU269" t="s">
        <v>155</v>
      </c>
      <c r="AX269" t="s">
        <v>155</v>
      </c>
      <c r="BA269" t="s">
        <v>155</v>
      </c>
      <c r="BD269">
        <v>53</v>
      </c>
      <c r="BG269" t="s">
        <v>155</v>
      </c>
    </row>
    <row r="270" spans="1:61" x14ac:dyDescent="0.2">
      <c r="A270" t="s">
        <v>789</v>
      </c>
      <c r="B270" t="s">
        <v>790</v>
      </c>
      <c r="C270" t="s">
        <v>604</v>
      </c>
      <c r="D270" t="s">
        <v>216</v>
      </c>
      <c r="E270" s="1" t="s">
        <v>8</v>
      </c>
      <c r="F270" s="1" t="s">
        <v>141</v>
      </c>
      <c r="G270" t="s">
        <v>796</v>
      </c>
      <c r="H270" t="s">
        <v>155</v>
      </c>
      <c r="K270">
        <v>3.9</v>
      </c>
      <c r="N270" t="s">
        <v>155</v>
      </c>
      <c r="Q270" t="s">
        <v>155</v>
      </c>
      <c r="T270" t="s">
        <v>155</v>
      </c>
      <c r="W270">
        <v>24</v>
      </c>
      <c r="Z270" t="s">
        <v>155</v>
      </c>
      <c r="AC270">
        <v>20</v>
      </c>
      <c r="AF270" t="s">
        <v>155</v>
      </c>
      <c r="AI270">
        <v>24</v>
      </c>
      <c r="AL270" t="s">
        <v>155</v>
      </c>
      <c r="AO270">
        <v>390</v>
      </c>
      <c r="AR270">
        <v>10</v>
      </c>
      <c r="AU270" t="s">
        <v>155</v>
      </c>
      <c r="AX270" t="s">
        <v>155</v>
      </c>
      <c r="BA270" t="s">
        <v>155</v>
      </c>
      <c r="BD270">
        <v>33</v>
      </c>
      <c r="BG270" t="s">
        <v>155</v>
      </c>
    </row>
    <row r="271" spans="1:61" x14ac:dyDescent="0.2">
      <c r="A271" t="s">
        <v>789</v>
      </c>
      <c r="B271" t="s">
        <v>790</v>
      </c>
      <c r="C271" t="s">
        <v>604</v>
      </c>
      <c r="D271" t="s">
        <v>216</v>
      </c>
      <c r="E271" s="1" t="s">
        <v>8</v>
      </c>
      <c r="F271" s="1" t="s">
        <v>141</v>
      </c>
      <c r="G271" t="s">
        <v>797</v>
      </c>
      <c r="H271" t="s">
        <v>155</v>
      </c>
      <c r="K271">
        <v>3.9</v>
      </c>
      <c r="N271" t="s">
        <v>155</v>
      </c>
      <c r="Q271" t="s">
        <v>155</v>
      </c>
      <c r="T271" t="s">
        <v>155</v>
      </c>
      <c r="W271">
        <v>34</v>
      </c>
      <c r="Z271" t="s">
        <v>155</v>
      </c>
      <c r="AC271">
        <v>36</v>
      </c>
      <c r="AF271" t="s">
        <v>155</v>
      </c>
      <c r="AI271">
        <v>14</v>
      </c>
      <c r="AL271" t="s">
        <v>155</v>
      </c>
      <c r="AO271">
        <v>580</v>
      </c>
      <c r="AR271">
        <v>32</v>
      </c>
      <c r="AU271" t="s">
        <v>155</v>
      </c>
      <c r="AX271" t="s">
        <v>155</v>
      </c>
      <c r="BA271" t="s">
        <v>155</v>
      </c>
      <c r="BD271">
        <v>66</v>
      </c>
      <c r="BG271" t="s">
        <v>155</v>
      </c>
    </row>
    <row r="272" spans="1:61" x14ac:dyDescent="0.2">
      <c r="A272" t="s">
        <v>789</v>
      </c>
      <c r="B272" t="s">
        <v>790</v>
      </c>
      <c r="C272" t="s">
        <v>604</v>
      </c>
      <c r="D272" t="s">
        <v>216</v>
      </c>
      <c r="E272" s="1" t="s">
        <v>8</v>
      </c>
      <c r="F272" s="1" t="s">
        <v>141</v>
      </c>
      <c r="G272" t="s">
        <v>798</v>
      </c>
      <c r="H272" t="s">
        <v>155</v>
      </c>
      <c r="K272">
        <v>11</v>
      </c>
      <c r="N272" t="s">
        <v>155</v>
      </c>
      <c r="Q272" t="s">
        <v>155</v>
      </c>
      <c r="T272" t="s">
        <v>155</v>
      </c>
      <c r="W272">
        <v>85</v>
      </c>
      <c r="Z272" t="s">
        <v>155</v>
      </c>
      <c r="AC272">
        <v>81</v>
      </c>
      <c r="AF272" t="s">
        <v>155</v>
      </c>
      <c r="AI272">
        <v>22</v>
      </c>
      <c r="AL272" t="s">
        <v>155</v>
      </c>
      <c r="AO272">
        <v>3300</v>
      </c>
      <c r="AR272">
        <v>61</v>
      </c>
      <c r="AU272" t="s">
        <v>155</v>
      </c>
      <c r="AX272" t="s">
        <v>155</v>
      </c>
      <c r="BA272" t="s">
        <v>155</v>
      </c>
      <c r="BD272">
        <v>110</v>
      </c>
      <c r="BG272" t="s">
        <v>155</v>
      </c>
    </row>
    <row r="273" spans="1:61" x14ac:dyDescent="0.2">
      <c r="A273" t="s">
        <v>799</v>
      </c>
      <c r="B273" t="s">
        <v>800</v>
      </c>
      <c r="C273" t="s">
        <v>801</v>
      </c>
      <c r="D273" t="s">
        <v>802</v>
      </c>
      <c r="E273" s="1" t="s">
        <v>168</v>
      </c>
      <c r="F273" s="1" t="s">
        <v>141</v>
      </c>
      <c r="G273" t="s">
        <v>803</v>
      </c>
      <c r="H273" t="s">
        <v>155</v>
      </c>
      <c r="K273" t="s">
        <v>155</v>
      </c>
      <c r="N273" t="s">
        <v>155</v>
      </c>
      <c r="Q273" t="s">
        <v>155</v>
      </c>
      <c r="T273" t="s">
        <v>155</v>
      </c>
      <c r="W273">
        <v>8.1999999999999993</v>
      </c>
      <c r="Z273" t="s">
        <v>155</v>
      </c>
      <c r="AC273">
        <v>8.3000000000000007</v>
      </c>
      <c r="AF273" t="s">
        <v>155</v>
      </c>
      <c r="AI273">
        <v>10.4</v>
      </c>
      <c r="AL273" t="s">
        <v>155</v>
      </c>
      <c r="AO273" t="s">
        <v>155</v>
      </c>
      <c r="AR273" t="s">
        <v>155</v>
      </c>
      <c r="AU273" t="s">
        <v>155</v>
      </c>
      <c r="AX273" t="s">
        <v>155</v>
      </c>
      <c r="BA273" t="s">
        <v>155</v>
      </c>
      <c r="BD273">
        <v>23.9</v>
      </c>
      <c r="BG273" t="s">
        <v>155</v>
      </c>
    </row>
    <row r="274" spans="1:61" x14ac:dyDescent="0.2">
      <c r="A274" t="s">
        <v>804</v>
      </c>
      <c r="B274" t="s">
        <v>805</v>
      </c>
      <c r="C274" t="s">
        <v>452</v>
      </c>
      <c r="D274" t="s">
        <v>806</v>
      </c>
      <c r="E274" s="1" t="s">
        <v>168</v>
      </c>
      <c r="F274" s="1" t="s">
        <v>140</v>
      </c>
      <c r="G274" t="s">
        <v>807</v>
      </c>
      <c r="H274">
        <v>15000</v>
      </c>
      <c r="K274">
        <v>2.2999999999999998</v>
      </c>
      <c r="N274">
        <v>71</v>
      </c>
      <c r="Q274" t="s">
        <v>155</v>
      </c>
      <c r="T274">
        <v>1600</v>
      </c>
      <c r="X274">
        <v>21.6</v>
      </c>
      <c r="Z274" t="s">
        <v>155</v>
      </c>
      <c r="AC274">
        <v>26</v>
      </c>
      <c r="AF274">
        <v>23000</v>
      </c>
      <c r="AJ274">
        <v>46.8</v>
      </c>
      <c r="AM274">
        <v>2160</v>
      </c>
      <c r="AP274">
        <v>384</v>
      </c>
      <c r="AR274">
        <v>8.3000000000000007</v>
      </c>
      <c r="AU274">
        <v>990</v>
      </c>
      <c r="AX274" t="s">
        <v>155</v>
      </c>
      <c r="BA274">
        <v>29</v>
      </c>
      <c r="BD274">
        <v>74</v>
      </c>
      <c r="BG274" t="s">
        <v>155</v>
      </c>
    </row>
    <row r="275" spans="1:61" x14ac:dyDescent="0.2">
      <c r="A275" t="s">
        <v>804</v>
      </c>
      <c r="B275" t="s">
        <v>805</v>
      </c>
      <c r="C275" t="s">
        <v>808</v>
      </c>
      <c r="D275" t="s">
        <v>453</v>
      </c>
      <c r="E275" s="1" t="s">
        <v>168</v>
      </c>
      <c r="F275" s="1" t="s">
        <v>153</v>
      </c>
      <c r="G275" t="s">
        <v>809</v>
      </c>
      <c r="H275">
        <v>4300</v>
      </c>
      <c r="M275">
        <v>1.3</v>
      </c>
      <c r="N275">
        <v>27</v>
      </c>
      <c r="Q275" t="s">
        <v>155</v>
      </c>
      <c r="V275">
        <v>324</v>
      </c>
      <c r="X275">
        <v>9.1199999999999992</v>
      </c>
      <c r="Z275" t="s">
        <v>155</v>
      </c>
      <c r="AD275">
        <v>8.8800000000000008</v>
      </c>
      <c r="AF275">
        <v>10000</v>
      </c>
      <c r="AJ275">
        <v>7.4</v>
      </c>
      <c r="AM275">
        <v>1560</v>
      </c>
      <c r="AP275">
        <v>144</v>
      </c>
      <c r="AS275">
        <v>5.28</v>
      </c>
      <c r="AU275">
        <v>1200</v>
      </c>
      <c r="AX275" t="s">
        <v>155</v>
      </c>
      <c r="BA275">
        <v>11</v>
      </c>
      <c r="BD275">
        <v>36</v>
      </c>
      <c r="BG275" t="s">
        <v>155</v>
      </c>
    </row>
    <row r="276" spans="1:61" x14ac:dyDescent="0.2">
      <c r="A276" s="10" t="s">
        <v>810</v>
      </c>
      <c r="B276" s="10" t="s">
        <v>811</v>
      </c>
      <c r="C276" s="10" t="s">
        <v>736</v>
      </c>
      <c r="D276" s="10" t="s">
        <v>135</v>
      </c>
      <c r="E276" s="11" t="s">
        <v>8</v>
      </c>
      <c r="F276" s="11" t="s">
        <v>140</v>
      </c>
      <c r="G276" s="10" t="s">
        <v>812</v>
      </c>
      <c r="H276">
        <v>10000</v>
      </c>
      <c r="L276" s="16">
        <f>(13*1.74)</f>
        <v>22.62</v>
      </c>
      <c r="N276">
        <v>66</v>
      </c>
      <c r="S276">
        <v>1.1000000000000001</v>
      </c>
      <c r="U276" s="16">
        <f>(3500*1.41)</f>
        <v>4935</v>
      </c>
      <c r="W276">
        <v>52</v>
      </c>
      <c r="Z276">
        <v>24</v>
      </c>
      <c r="AC276">
        <v>110</v>
      </c>
      <c r="AG276" s="16">
        <f>(26000*1.34)</f>
        <v>34840</v>
      </c>
      <c r="AK276">
        <v>1</v>
      </c>
      <c r="AL276">
        <v>2900</v>
      </c>
      <c r="AP276" s="16">
        <f>(410*1.24)</f>
        <v>508.4</v>
      </c>
      <c r="AR276">
        <v>50</v>
      </c>
      <c r="AW276">
        <v>80</v>
      </c>
      <c r="AX276">
        <v>270</v>
      </c>
      <c r="BB276" s="16">
        <f>(86*1.34)</f>
        <v>115.24000000000001</v>
      </c>
      <c r="BD276">
        <v>22</v>
      </c>
      <c r="BI276">
        <v>0.1</v>
      </c>
    </row>
    <row r="277" spans="1:61" x14ac:dyDescent="0.2">
      <c r="A277" s="10" t="s">
        <v>810</v>
      </c>
      <c r="B277" s="10" t="s">
        <v>811</v>
      </c>
      <c r="C277" s="10" t="s">
        <v>180</v>
      </c>
      <c r="D277" s="10" t="s">
        <v>135</v>
      </c>
      <c r="E277" s="11" t="s">
        <v>8</v>
      </c>
      <c r="F277" s="11" t="s">
        <v>141</v>
      </c>
      <c r="G277" s="10" t="s">
        <v>813</v>
      </c>
      <c r="H277">
        <v>9700</v>
      </c>
      <c r="L277" s="16">
        <f>(9.6*1.74)</f>
        <v>16.704000000000001</v>
      </c>
      <c r="N277">
        <v>62</v>
      </c>
      <c r="S277">
        <v>0.98</v>
      </c>
      <c r="U277" s="16">
        <f>(4400*1.41)</f>
        <v>6204</v>
      </c>
      <c r="W277">
        <v>45</v>
      </c>
      <c r="Z277">
        <v>16</v>
      </c>
      <c r="AE277">
        <v>80</v>
      </c>
      <c r="AG277" s="16">
        <f>(18000*1.34)</f>
        <v>24120</v>
      </c>
      <c r="AK277">
        <v>0.38</v>
      </c>
      <c r="AL277">
        <v>3000</v>
      </c>
      <c r="AP277" s="16">
        <f>(230*1.24)</f>
        <v>285.2</v>
      </c>
      <c r="AR277">
        <v>40</v>
      </c>
      <c r="AU277">
        <v>100</v>
      </c>
      <c r="AX277">
        <v>550</v>
      </c>
      <c r="BB277" s="16">
        <f>(51*1.34)</f>
        <v>68.34</v>
      </c>
      <c r="BD277">
        <v>20</v>
      </c>
      <c r="BI277">
        <v>0.09</v>
      </c>
    </row>
    <row r="278" spans="1:61" x14ac:dyDescent="0.2">
      <c r="A278" t="s">
        <v>814</v>
      </c>
      <c r="B278" t="s">
        <v>815</v>
      </c>
      <c r="C278" t="s">
        <v>816</v>
      </c>
      <c r="D278" t="s">
        <v>152</v>
      </c>
      <c r="E278" s="1" t="s">
        <v>8</v>
      </c>
      <c r="F278" s="1" t="s">
        <v>140</v>
      </c>
      <c r="G278" t="s">
        <v>817</v>
      </c>
      <c r="H278" t="s">
        <v>155</v>
      </c>
      <c r="K278">
        <v>2</v>
      </c>
      <c r="N278">
        <v>53</v>
      </c>
      <c r="S278">
        <v>4</v>
      </c>
      <c r="T278" t="s">
        <v>155</v>
      </c>
      <c r="W278">
        <v>28</v>
      </c>
      <c r="Z278" t="s">
        <v>155</v>
      </c>
      <c r="AC278" t="s">
        <v>155</v>
      </c>
      <c r="AF278" t="s">
        <v>155</v>
      </c>
      <c r="AI278">
        <v>72</v>
      </c>
      <c r="AL278" t="s">
        <v>155</v>
      </c>
      <c r="AO278" t="s">
        <v>155</v>
      </c>
      <c r="AR278" t="s">
        <v>155</v>
      </c>
      <c r="AU278" t="s">
        <v>155</v>
      </c>
      <c r="AX278" t="s">
        <v>155</v>
      </c>
      <c r="BA278" t="s">
        <v>155</v>
      </c>
      <c r="BD278" t="s">
        <v>155</v>
      </c>
      <c r="BI278">
        <v>0.1</v>
      </c>
    </row>
    <row r="279" spans="1:61" x14ac:dyDescent="0.2">
      <c r="A279" t="s">
        <v>818</v>
      </c>
      <c r="B279" t="s">
        <v>819</v>
      </c>
      <c r="C279" t="s">
        <v>647</v>
      </c>
      <c r="D279" t="s">
        <v>275</v>
      </c>
      <c r="E279" s="1" t="s">
        <v>8</v>
      </c>
      <c r="F279" s="1" t="s">
        <v>140</v>
      </c>
      <c r="G279">
        <v>3691</v>
      </c>
      <c r="H279" t="s">
        <v>155</v>
      </c>
      <c r="K279">
        <v>0.95</v>
      </c>
      <c r="N279">
        <v>62</v>
      </c>
      <c r="S279">
        <v>2.4</v>
      </c>
      <c r="T279" t="s">
        <v>155</v>
      </c>
      <c r="W279">
        <v>17</v>
      </c>
      <c r="Z279" t="s">
        <v>155</v>
      </c>
      <c r="AC279" t="s">
        <v>155</v>
      </c>
      <c r="AF279" t="s">
        <v>155</v>
      </c>
      <c r="AI279">
        <v>163</v>
      </c>
      <c r="AL279" t="s">
        <v>155</v>
      </c>
      <c r="AO279" t="s">
        <v>155</v>
      </c>
      <c r="AR279" t="s">
        <v>155</v>
      </c>
      <c r="AU279" t="s">
        <v>155</v>
      </c>
      <c r="AX279" t="s">
        <v>155</v>
      </c>
      <c r="BA279" t="s">
        <v>155</v>
      </c>
      <c r="BD279" t="s">
        <v>155</v>
      </c>
      <c r="BI279">
        <v>0.1</v>
      </c>
    </row>
    <row r="280" spans="1:61" x14ac:dyDescent="0.2">
      <c r="A280" t="s">
        <v>818</v>
      </c>
      <c r="B280" t="s">
        <v>819</v>
      </c>
      <c r="C280" t="s">
        <v>647</v>
      </c>
      <c r="D280" t="s">
        <v>275</v>
      </c>
      <c r="E280" s="1" t="s">
        <v>8</v>
      </c>
      <c r="F280" s="1" t="s">
        <v>141</v>
      </c>
      <c r="G280">
        <v>3692</v>
      </c>
      <c r="H280" t="s">
        <v>155</v>
      </c>
      <c r="K280">
        <v>1</v>
      </c>
      <c r="N280">
        <v>64</v>
      </c>
      <c r="S280">
        <v>2.5</v>
      </c>
      <c r="T280" t="s">
        <v>155</v>
      </c>
      <c r="W280">
        <v>22</v>
      </c>
      <c r="Z280" t="s">
        <v>155</v>
      </c>
      <c r="AC280" t="s">
        <v>155</v>
      </c>
      <c r="AF280" t="s">
        <v>155</v>
      </c>
      <c r="AI280">
        <v>168</v>
      </c>
      <c r="AL280" t="s">
        <v>155</v>
      </c>
      <c r="AO280" t="s">
        <v>155</v>
      </c>
      <c r="AR280" t="s">
        <v>155</v>
      </c>
      <c r="AU280" t="s">
        <v>155</v>
      </c>
      <c r="AX280" t="s">
        <v>155</v>
      </c>
      <c r="BA280" t="s">
        <v>155</v>
      </c>
      <c r="BD280" t="s">
        <v>155</v>
      </c>
      <c r="BI280">
        <v>0.114</v>
      </c>
    </row>
    <row r="281" spans="1:61" x14ac:dyDescent="0.2">
      <c r="A281" s="10" t="s">
        <v>820</v>
      </c>
      <c r="B281" s="10" t="s">
        <v>821</v>
      </c>
      <c r="C281" s="10" t="s">
        <v>508</v>
      </c>
      <c r="D281" s="10" t="s">
        <v>275</v>
      </c>
      <c r="E281" s="11" t="s">
        <v>168</v>
      </c>
      <c r="F281" s="11" t="s">
        <v>140</v>
      </c>
      <c r="G281" s="10" t="s">
        <v>822</v>
      </c>
      <c r="H281">
        <v>28000</v>
      </c>
      <c r="M281">
        <v>0.24</v>
      </c>
      <c r="N281">
        <v>200</v>
      </c>
      <c r="S281">
        <v>0.87</v>
      </c>
      <c r="V281">
        <v>50</v>
      </c>
      <c r="W281">
        <v>38</v>
      </c>
      <c r="Z281">
        <v>26</v>
      </c>
      <c r="AC281">
        <v>79</v>
      </c>
      <c r="AF281">
        <v>52000</v>
      </c>
      <c r="AI281">
        <v>9.3000000000000007</v>
      </c>
      <c r="AL281">
        <v>9100</v>
      </c>
      <c r="AO281">
        <v>670</v>
      </c>
      <c r="AR281">
        <v>20</v>
      </c>
      <c r="AU281">
        <v>7200</v>
      </c>
      <c r="AZ281">
        <v>190</v>
      </c>
      <c r="BA281">
        <v>53</v>
      </c>
      <c r="BD281">
        <v>84</v>
      </c>
      <c r="BI281">
        <v>0.26</v>
      </c>
    </row>
    <row r="282" spans="1:61" x14ac:dyDescent="0.2">
      <c r="A282" t="s">
        <v>823</v>
      </c>
      <c r="B282" t="s">
        <v>824</v>
      </c>
      <c r="C282" t="s">
        <v>151</v>
      </c>
      <c r="D282" t="s">
        <v>152</v>
      </c>
      <c r="E282" s="1" t="s">
        <v>8</v>
      </c>
      <c r="F282" s="1" t="s">
        <v>141</v>
      </c>
      <c r="G282" t="s">
        <v>693</v>
      </c>
      <c r="H282" t="s">
        <v>155</v>
      </c>
      <c r="M282">
        <v>0.63</v>
      </c>
      <c r="N282" t="s">
        <v>155</v>
      </c>
      <c r="S282">
        <v>0.13</v>
      </c>
      <c r="T282" t="s">
        <v>155</v>
      </c>
      <c r="W282">
        <v>12</v>
      </c>
      <c r="Z282" t="s">
        <v>155</v>
      </c>
      <c r="AC282">
        <v>2.7</v>
      </c>
      <c r="AF282" t="s">
        <v>155</v>
      </c>
      <c r="AI282">
        <v>6</v>
      </c>
      <c r="AL282" t="s">
        <v>155</v>
      </c>
      <c r="AO282" t="s">
        <v>155</v>
      </c>
      <c r="AR282">
        <v>10</v>
      </c>
      <c r="AU282" t="s">
        <v>155</v>
      </c>
      <c r="AX282" t="s">
        <v>155</v>
      </c>
      <c r="BA282" t="s">
        <v>155</v>
      </c>
      <c r="BD282">
        <v>45</v>
      </c>
      <c r="BG282">
        <v>5.3E-3</v>
      </c>
    </row>
    <row r="283" spans="1:61" x14ac:dyDescent="0.2">
      <c r="A283" t="s">
        <v>823</v>
      </c>
      <c r="B283" t="s">
        <v>824</v>
      </c>
      <c r="C283" t="s">
        <v>151</v>
      </c>
      <c r="D283" t="s">
        <v>152</v>
      </c>
      <c r="E283" s="1" t="s">
        <v>8</v>
      </c>
      <c r="F283" s="1" t="s">
        <v>141</v>
      </c>
      <c r="G283" t="s">
        <v>825</v>
      </c>
      <c r="H283" t="s">
        <v>155</v>
      </c>
      <c r="M283">
        <v>0.6</v>
      </c>
      <c r="N283" t="s">
        <v>155</v>
      </c>
      <c r="S283">
        <v>0.12</v>
      </c>
      <c r="T283" t="s">
        <v>155</v>
      </c>
      <c r="W283">
        <v>17</v>
      </c>
      <c r="Z283" t="s">
        <v>155</v>
      </c>
      <c r="AC283">
        <v>2.5</v>
      </c>
      <c r="AF283" t="s">
        <v>155</v>
      </c>
      <c r="AI283">
        <v>5.6</v>
      </c>
      <c r="AL283" t="s">
        <v>155</v>
      </c>
      <c r="AO283" t="s">
        <v>155</v>
      </c>
      <c r="AR283">
        <v>11</v>
      </c>
      <c r="AU283" t="s">
        <v>155</v>
      </c>
      <c r="AX283" t="s">
        <v>155</v>
      </c>
      <c r="BA283" t="s">
        <v>155</v>
      </c>
      <c r="BD283">
        <v>48</v>
      </c>
      <c r="BI283">
        <v>4.4999999999999997E-3</v>
      </c>
    </row>
    <row r="284" spans="1:61" x14ac:dyDescent="0.2">
      <c r="A284" t="s">
        <v>823</v>
      </c>
      <c r="B284" t="s">
        <v>824</v>
      </c>
      <c r="C284" t="s">
        <v>151</v>
      </c>
      <c r="D284" t="s">
        <v>152</v>
      </c>
      <c r="E284" s="1" t="s">
        <v>8</v>
      </c>
      <c r="F284" s="1" t="s">
        <v>141</v>
      </c>
      <c r="G284" t="s">
        <v>694</v>
      </c>
      <c r="H284" t="s">
        <v>155</v>
      </c>
      <c r="M284">
        <v>0.59</v>
      </c>
      <c r="N284" t="s">
        <v>155</v>
      </c>
      <c r="S284">
        <v>0.12</v>
      </c>
      <c r="T284" t="s">
        <v>155</v>
      </c>
      <c r="W284">
        <v>170</v>
      </c>
      <c r="Z284" t="s">
        <v>155</v>
      </c>
      <c r="AC284">
        <v>5.6</v>
      </c>
      <c r="AF284" t="s">
        <v>155</v>
      </c>
      <c r="AI284">
        <v>3.4</v>
      </c>
      <c r="AL284" t="s">
        <v>155</v>
      </c>
      <c r="AO284" t="s">
        <v>155</v>
      </c>
      <c r="AR284">
        <v>11</v>
      </c>
      <c r="AU284" t="s">
        <v>155</v>
      </c>
      <c r="AX284" t="s">
        <v>155</v>
      </c>
      <c r="BA284" t="s">
        <v>155</v>
      </c>
      <c r="BD284">
        <v>33</v>
      </c>
      <c r="BI284">
        <v>5.1000000000000004E-3</v>
      </c>
    </row>
    <row r="285" spans="1:61" x14ac:dyDescent="0.2">
      <c r="A285" t="s">
        <v>823</v>
      </c>
      <c r="B285" t="s">
        <v>824</v>
      </c>
      <c r="C285" t="s">
        <v>151</v>
      </c>
      <c r="D285" t="s">
        <v>152</v>
      </c>
      <c r="E285" s="1" t="s">
        <v>8</v>
      </c>
      <c r="F285" s="1" t="s">
        <v>141</v>
      </c>
      <c r="G285" t="s">
        <v>751</v>
      </c>
      <c r="H285" t="s">
        <v>155</v>
      </c>
      <c r="M285">
        <v>0.71</v>
      </c>
      <c r="N285" t="s">
        <v>155</v>
      </c>
      <c r="S285">
        <v>0.14000000000000001</v>
      </c>
      <c r="T285" t="s">
        <v>155</v>
      </c>
      <c r="W285">
        <v>56</v>
      </c>
      <c r="Z285" t="s">
        <v>155</v>
      </c>
      <c r="AC285">
        <v>140</v>
      </c>
      <c r="AF285" t="s">
        <v>155</v>
      </c>
      <c r="AI285">
        <v>3.4</v>
      </c>
      <c r="AL285" t="s">
        <v>155</v>
      </c>
      <c r="AO285" t="s">
        <v>155</v>
      </c>
      <c r="AR285">
        <v>14</v>
      </c>
      <c r="AU285" t="s">
        <v>155</v>
      </c>
      <c r="AX285" t="s">
        <v>155</v>
      </c>
      <c r="BA285" t="s">
        <v>155</v>
      </c>
      <c r="BD285">
        <v>35</v>
      </c>
      <c r="BI285">
        <v>5.0000000000000001E-3</v>
      </c>
    </row>
    <row r="286" spans="1:61" x14ac:dyDescent="0.2">
      <c r="A286" t="s">
        <v>823</v>
      </c>
      <c r="B286" t="s">
        <v>824</v>
      </c>
      <c r="C286" t="s">
        <v>151</v>
      </c>
      <c r="D286" t="s">
        <v>152</v>
      </c>
      <c r="E286" s="1" t="s">
        <v>8</v>
      </c>
      <c r="F286" s="1" t="s">
        <v>141</v>
      </c>
      <c r="G286" t="s">
        <v>765</v>
      </c>
      <c r="H286" t="s">
        <v>155</v>
      </c>
      <c r="M286">
        <v>0.51</v>
      </c>
      <c r="N286" t="s">
        <v>155</v>
      </c>
      <c r="S286">
        <v>0.1</v>
      </c>
      <c r="T286" t="s">
        <v>155</v>
      </c>
      <c r="W286">
        <v>11</v>
      </c>
      <c r="Z286" t="s">
        <v>155</v>
      </c>
      <c r="AC286">
        <v>100</v>
      </c>
      <c r="AF286" t="s">
        <v>155</v>
      </c>
      <c r="AI286">
        <v>2.6</v>
      </c>
      <c r="AL286" t="s">
        <v>155</v>
      </c>
      <c r="AO286" t="s">
        <v>155</v>
      </c>
      <c r="AR286">
        <v>5.7</v>
      </c>
      <c r="AU286" t="s">
        <v>155</v>
      </c>
      <c r="AX286" t="s">
        <v>155</v>
      </c>
      <c r="BA286" t="s">
        <v>155</v>
      </c>
      <c r="BD286">
        <v>47</v>
      </c>
      <c r="BI286">
        <v>4.3E-3</v>
      </c>
    </row>
    <row r="287" spans="1:61" x14ac:dyDescent="0.2">
      <c r="A287" t="s">
        <v>823</v>
      </c>
      <c r="B287" t="s">
        <v>824</v>
      </c>
      <c r="C287" t="s">
        <v>151</v>
      </c>
      <c r="D287" t="s">
        <v>152</v>
      </c>
      <c r="E287" s="1" t="s">
        <v>8</v>
      </c>
      <c r="F287" s="1" t="s">
        <v>141</v>
      </c>
      <c r="G287" t="s">
        <v>766</v>
      </c>
      <c r="H287" t="s">
        <v>155</v>
      </c>
      <c r="M287">
        <v>0.47</v>
      </c>
      <c r="N287" t="s">
        <v>155</v>
      </c>
      <c r="S287">
        <v>9.4E-2</v>
      </c>
      <c r="T287" t="s">
        <v>155</v>
      </c>
      <c r="W287">
        <v>6.2</v>
      </c>
      <c r="Z287" t="s">
        <v>155</v>
      </c>
      <c r="AC287">
        <v>23</v>
      </c>
      <c r="AF287" t="s">
        <v>155</v>
      </c>
      <c r="AI287">
        <v>6.1</v>
      </c>
      <c r="AL287" t="s">
        <v>155</v>
      </c>
      <c r="AO287" t="s">
        <v>155</v>
      </c>
      <c r="AR287">
        <v>4</v>
      </c>
      <c r="AU287" t="s">
        <v>155</v>
      </c>
      <c r="AX287" t="s">
        <v>155</v>
      </c>
      <c r="BA287" t="s">
        <v>155</v>
      </c>
      <c r="BD287">
        <v>57</v>
      </c>
      <c r="BI287">
        <v>4.1000000000000003E-3</v>
      </c>
    </row>
    <row r="288" spans="1:61" x14ac:dyDescent="0.2">
      <c r="A288" t="s">
        <v>826</v>
      </c>
      <c r="B288" t="s">
        <v>827</v>
      </c>
      <c r="C288" t="s">
        <v>180</v>
      </c>
      <c r="D288" t="s">
        <v>135</v>
      </c>
      <c r="E288" s="1" t="s">
        <v>8</v>
      </c>
      <c r="F288" s="1" t="s">
        <v>141</v>
      </c>
      <c r="G288">
        <v>15825</v>
      </c>
      <c r="H288" t="s">
        <v>155</v>
      </c>
      <c r="M288">
        <v>4</v>
      </c>
      <c r="N288">
        <v>96</v>
      </c>
      <c r="S288">
        <v>16</v>
      </c>
      <c r="T288" t="s">
        <v>155</v>
      </c>
      <c r="Y288">
        <v>20</v>
      </c>
      <c r="Z288" t="s">
        <v>155</v>
      </c>
      <c r="AC288" t="s">
        <v>155</v>
      </c>
      <c r="AF288" t="s">
        <v>155</v>
      </c>
      <c r="AI288">
        <v>102</v>
      </c>
      <c r="AL288" t="s">
        <v>155</v>
      </c>
      <c r="AO288" t="s">
        <v>155</v>
      </c>
      <c r="AR288" t="s">
        <v>155</v>
      </c>
      <c r="AU288" t="s">
        <v>155</v>
      </c>
      <c r="AX288" t="s">
        <v>155</v>
      </c>
      <c r="BA288" t="s">
        <v>155</v>
      </c>
      <c r="BD288" t="s">
        <v>155</v>
      </c>
      <c r="BI288">
        <v>0.09</v>
      </c>
    </row>
    <row r="289" spans="1:61" x14ac:dyDescent="0.2">
      <c r="A289" s="10" t="s">
        <v>828</v>
      </c>
      <c r="B289" s="10" t="s">
        <v>829</v>
      </c>
      <c r="C289" s="10" t="s">
        <v>830</v>
      </c>
      <c r="D289" s="10" t="s">
        <v>230</v>
      </c>
      <c r="E289" s="11" t="s">
        <v>8</v>
      </c>
      <c r="F289" s="11" t="s">
        <v>140</v>
      </c>
      <c r="G289" s="10" t="s">
        <v>831</v>
      </c>
      <c r="I289" s="16">
        <f>(3500*1.66)</f>
        <v>5810</v>
      </c>
      <c r="M289">
        <v>2</v>
      </c>
      <c r="O289" s="16">
        <f>(15*3.99)</f>
        <v>59.85</v>
      </c>
      <c r="S289">
        <v>1.1000000000000001</v>
      </c>
      <c r="V289">
        <v>1.1000000000000001</v>
      </c>
      <c r="Y289">
        <v>5</v>
      </c>
      <c r="AB289">
        <v>0.45</v>
      </c>
      <c r="AC289">
        <v>4.7</v>
      </c>
      <c r="AG289" s="16">
        <f>(2900*1.34)</f>
        <v>3886.0000000000005</v>
      </c>
      <c r="AI289">
        <v>9.1</v>
      </c>
      <c r="AN289">
        <v>230</v>
      </c>
      <c r="AO289">
        <v>6.1</v>
      </c>
      <c r="AR289">
        <v>5.6</v>
      </c>
      <c r="AW289">
        <v>170</v>
      </c>
      <c r="AZ289">
        <v>90</v>
      </c>
      <c r="BC289">
        <v>8</v>
      </c>
      <c r="BD289">
        <v>8.1</v>
      </c>
      <c r="BI289">
        <v>0.1</v>
      </c>
    </row>
    <row r="290" spans="1:61" x14ac:dyDescent="0.2">
      <c r="A290" s="10" t="s">
        <v>702</v>
      </c>
      <c r="B290" s="10" t="s">
        <v>832</v>
      </c>
      <c r="C290" s="10" t="s">
        <v>151</v>
      </c>
      <c r="D290" s="10" t="s">
        <v>152</v>
      </c>
      <c r="E290" s="11" t="s">
        <v>8</v>
      </c>
      <c r="F290" s="11" t="s">
        <v>140</v>
      </c>
      <c r="G290" s="10" t="s">
        <v>704</v>
      </c>
      <c r="H290">
        <v>17000</v>
      </c>
      <c r="M290">
        <v>1.4</v>
      </c>
      <c r="N290">
        <v>110</v>
      </c>
      <c r="S290">
        <v>1</v>
      </c>
      <c r="T290">
        <v>4300</v>
      </c>
      <c r="W290">
        <v>48</v>
      </c>
      <c r="AA290" s="16">
        <f>(8.3*1.25)</f>
        <v>10.375</v>
      </c>
      <c r="AE290">
        <v>30</v>
      </c>
      <c r="AF290">
        <v>20000</v>
      </c>
      <c r="AJ290" s="16">
        <f>(32*1.44)</f>
        <v>46.08</v>
      </c>
      <c r="AL290">
        <v>3400</v>
      </c>
      <c r="AO290">
        <v>280</v>
      </c>
      <c r="AR290">
        <v>14</v>
      </c>
      <c r="AU290">
        <v>3200</v>
      </c>
      <c r="AZ290">
        <v>180</v>
      </c>
      <c r="BA290">
        <v>41</v>
      </c>
      <c r="BD290">
        <v>8671</v>
      </c>
      <c r="BI290">
        <v>0.14000000000000001</v>
      </c>
    </row>
    <row r="291" spans="1:61" x14ac:dyDescent="0.2">
      <c r="A291" t="s">
        <v>833</v>
      </c>
      <c r="B291" t="s">
        <v>834</v>
      </c>
      <c r="C291" t="s">
        <v>478</v>
      </c>
      <c r="D291" t="s">
        <v>479</v>
      </c>
      <c r="E291" s="1" t="s">
        <v>8</v>
      </c>
      <c r="F291" s="1" t="s">
        <v>141</v>
      </c>
      <c r="G291" t="s">
        <v>835</v>
      </c>
      <c r="H291" t="s">
        <v>155</v>
      </c>
      <c r="K291">
        <v>0.84</v>
      </c>
      <c r="N291">
        <v>163</v>
      </c>
      <c r="Q291">
        <v>13</v>
      </c>
      <c r="T291" t="s">
        <v>155</v>
      </c>
      <c r="W291">
        <v>22.2</v>
      </c>
      <c r="Z291">
        <v>11.7</v>
      </c>
      <c r="AC291">
        <v>29.6</v>
      </c>
      <c r="AF291" t="s">
        <v>155</v>
      </c>
      <c r="AI291">
        <v>5.8</v>
      </c>
      <c r="AL291" t="s">
        <v>155</v>
      </c>
      <c r="AO291" t="s">
        <v>155</v>
      </c>
      <c r="AR291">
        <v>14.2</v>
      </c>
      <c r="AU291" t="s">
        <v>155</v>
      </c>
      <c r="AX291" t="s">
        <v>155</v>
      </c>
      <c r="BA291">
        <v>57.9</v>
      </c>
      <c r="BD291">
        <v>45</v>
      </c>
      <c r="BG291" t="s">
        <v>155</v>
      </c>
    </row>
    <row r="292" spans="1:61" x14ac:dyDescent="0.2">
      <c r="A292" t="s">
        <v>833</v>
      </c>
      <c r="B292" t="s">
        <v>834</v>
      </c>
      <c r="C292" t="s">
        <v>478</v>
      </c>
      <c r="D292" t="s">
        <v>479</v>
      </c>
      <c r="E292" s="1" t="s">
        <v>8</v>
      </c>
      <c r="F292" s="1" t="s">
        <v>141</v>
      </c>
      <c r="G292" t="s">
        <v>836</v>
      </c>
      <c r="H292" t="s">
        <v>155</v>
      </c>
      <c r="K292">
        <v>0.87</v>
      </c>
      <c r="N292">
        <v>133</v>
      </c>
      <c r="Q292">
        <v>1.1000000000000001</v>
      </c>
      <c r="T292" t="s">
        <v>155</v>
      </c>
      <c r="W292">
        <v>15.7</v>
      </c>
      <c r="Z292">
        <v>9.3000000000000007</v>
      </c>
      <c r="AC292">
        <v>23.5</v>
      </c>
      <c r="AF292" t="s">
        <v>155</v>
      </c>
      <c r="AI292">
        <v>5.8</v>
      </c>
      <c r="AL292" t="s">
        <v>155</v>
      </c>
      <c r="AO292" t="s">
        <v>155</v>
      </c>
      <c r="AR292">
        <v>8.8000000000000007</v>
      </c>
      <c r="AU292" t="s">
        <v>155</v>
      </c>
      <c r="AX292" t="s">
        <v>155</v>
      </c>
      <c r="BA292">
        <v>51.6</v>
      </c>
      <c r="BD292">
        <v>39.200000000000003</v>
      </c>
      <c r="BG292" t="s">
        <v>155</v>
      </c>
    </row>
    <row r="293" spans="1:61" x14ac:dyDescent="0.2">
      <c r="A293" t="s">
        <v>833</v>
      </c>
      <c r="B293" t="s">
        <v>834</v>
      </c>
      <c r="C293" t="s">
        <v>478</v>
      </c>
      <c r="D293" t="s">
        <v>479</v>
      </c>
      <c r="E293" s="1" t="s">
        <v>8</v>
      </c>
      <c r="F293" s="1" t="s">
        <v>141</v>
      </c>
      <c r="G293" t="s">
        <v>772</v>
      </c>
      <c r="H293" t="s">
        <v>155</v>
      </c>
      <c r="K293">
        <v>1.3</v>
      </c>
      <c r="N293">
        <v>107</v>
      </c>
      <c r="Q293" t="s">
        <v>155</v>
      </c>
      <c r="T293" t="s">
        <v>155</v>
      </c>
      <c r="W293">
        <v>15.4</v>
      </c>
      <c r="Z293">
        <v>7.1</v>
      </c>
      <c r="AC293">
        <v>27.8</v>
      </c>
      <c r="AF293" t="s">
        <v>155</v>
      </c>
      <c r="AI293">
        <v>2.8</v>
      </c>
      <c r="AL293" t="s">
        <v>155</v>
      </c>
      <c r="AO293" t="s">
        <v>155</v>
      </c>
      <c r="AR293">
        <v>12.8</v>
      </c>
      <c r="AU293" t="s">
        <v>155</v>
      </c>
      <c r="AX293" t="s">
        <v>155</v>
      </c>
      <c r="BA293">
        <v>31</v>
      </c>
      <c r="BD293">
        <v>63.5</v>
      </c>
      <c r="BG293" t="s">
        <v>155</v>
      </c>
    </row>
    <row r="294" spans="1:61" x14ac:dyDescent="0.2">
      <c r="A294" t="s">
        <v>833</v>
      </c>
      <c r="B294" t="s">
        <v>834</v>
      </c>
      <c r="C294" t="s">
        <v>478</v>
      </c>
      <c r="D294" t="s">
        <v>479</v>
      </c>
      <c r="E294" s="1" t="s">
        <v>8</v>
      </c>
      <c r="F294" s="1" t="s">
        <v>141</v>
      </c>
      <c r="G294" t="s">
        <v>837</v>
      </c>
      <c r="H294" t="s">
        <v>155</v>
      </c>
      <c r="K294">
        <v>1.4</v>
      </c>
      <c r="N294">
        <v>111</v>
      </c>
      <c r="Q294" t="s">
        <v>155</v>
      </c>
      <c r="T294" t="s">
        <v>155</v>
      </c>
      <c r="W294">
        <v>12.3</v>
      </c>
      <c r="Z294">
        <v>8.8000000000000007</v>
      </c>
      <c r="AC294">
        <v>29.9</v>
      </c>
      <c r="AF294" t="s">
        <v>155</v>
      </c>
      <c r="AI294">
        <v>2.8</v>
      </c>
      <c r="AL294" t="s">
        <v>155</v>
      </c>
      <c r="AO294" t="s">
        <v>155</v>
      </c>
      <c r="AR294">
        <v>10.199999999999999</v>
      </c>
      <c r="AU294" t="s">
        <v>155</v>
      </c>
      <c r="AX294" t="s">
        <v>155</v>
      </c>
      <c r="BA294">
        <v>30.9</v>
      </c>
      <c r="BD294">
        <v>110</v>
      </c>
      <c r="BG294" t="s">
        <v>155</v>
      </c>
    </row>
    <row r="295" spans="1:61" x14ac:dyDescent="0.2">
      <c r="A295" t="s">
        <v>833</v>
      </c>
      <c r="B295" t="s">
        <v>834</v>
      </c>
      <c r="C295" t="s">
        <v>478</v>
      </c>
      <c r="D295" t="s">
        <v>479</v>
      </c>
      <c r="E295" s="1" t="s">
        <v>8</v>
      </c>
      <c r="F295" s="1" t="s">
        <v>141</v>
      </c>
      <c r="G295" t="s">
        <v>774</v>
      </c>
      <c r="H295" t="s">
        <v>155</v>
      </c>
      <c r="K295">
        <v>2.9</v>
      </c>
      <c r="N295">
        <v>128</v>
      </c>
      <c r="Q295" t="s">
        <v>155</v>
      </c>
      <c r="T295" t="s">
        <v>155</v>
      </c>
      <c r="W295">
        <v>27</v>
      </c>
      <c r="Z295">
        <v>8.4</v>
      </c>
      <c r="AC295">
        <v>32.200000000000003</v>
      </c>
      <c r="AF295" t="s">
        <v>155</v>
      </c>
      <c r="AI295">
        <v>5.9</v>
      </c>
      <c r="AL295" t="s">
        <v>155</v>
      </c>
      <c r="AO295" t="s">
        <v>155</v>
      </c>
      <c r="AR295">
        <v>14.7</v>
      </c>
      <c r="AU295" t="s">
        <v>155</v>
      </c>
      <c r="AX295" t="s">
        <v>155</v>
      </c>
      <c r="BA295">
        <v>48.8</v>
      </c>
      <c r="BD295">
        <v>91</v>
      </c>
      <c r="BG295" t="s">
        <v>155</v>
      </c>
    </row>
    <row r="296" spans="1:61" x14ac:dyDescent="0.2">
      <c r="A296" t="s">
        <v>833</v>
      </c>
      <c r="B296" t="s">
        <v>834</v>
      </c>
      <c r="C296" t="s">
        <v>478</v>
      </c>
      <c r="D296" t="s">
        <v>479</v>
      </c>
      <c r="E296" s="1" t="s">
        <v>8</v>
      </c>
      <c r="F296" s="1" t="s">
        <v>141</v>
      </c>
      <c r="G296" t="s">
        <v>838</v>
      </c>
      <c r="H296" t="s">
        <v>155</v>
      </c>
      <c r="K296">
        <v>0.92</v>
      </c>
      <c r="N296">
        <v>121</v>
      </c>
      <c r="Q296" t="s">
        <v>155</v>
      </c>
      <c r="T296" t="s">
        <v>155</v>
      </c>
      <c r="W296">
        <v>19.7</v>
      </c>
      <c r="Z296">
        <v>6.9</v>
      </c>
      <c r="AC296">
        <v>19.3</v>
      </c>
      <c r="AF296" t="s">
        <v>155</v>
      </c>
      <c r="AI296">
        <v>4.5</v>
      </c>
      <c r="AL296" t="s">
        <v>155</v>
      </c>
      <c r="AO296" t="s">
        <v>155</v>
      </c>
      <c r="AR296">
        <v>10</v>
      </c>
      <c r="AU296" t="s">
        <v>155</v>
      </c>
      <c r="AX296" t="s">
        <v>155</v>
      </c>
      <c r="BA296">
        <v>44</v>
      </c>
      <c r="BD296">
        <v>34.200000000000003</v>
      </c>
      <c r="BG296" t="s">
        <v>155</v>
      </c>
    </row>
    <row r="297" spans="1:61" x14ac:dyDescent="0.2">
      <c r="A297" t="s">
        <v>833</v>
      </c>
      <c r="B297" t="s">
        <v>834</v>
      </c>
      <c r="C297" t="s">
        <v>478</v>
      </c>
      <c r="D297" t="s">
        <v>479</v>
      </c>
      <c r="E297" s="1" t="s">
        <v>8</v>
      </c>
      <c r="F297" s="1" t="s">
        <v>141</v>
      </c>
      <c r="G297" t="s">
        <v>839</v>
      </c>
      <c r="H297" t="s">
        <v>155</v>
      </c>
      <c r="K297">
        <v>5.7</v>
      </c>
      <c r="N297">
        <v>133</v>
      </c>
      <c r="Q297">
        <v>1.5</v>
      </c>
      <c r="T297" t="s">
        <v>155</v>
      </c>
      <c r="W297">
        <v>22.6</v>
      </c>
      <c r="Z297">
        <v>7.2</v>
      </c>
      <c r="AC297">
        <v>20.7</v>
      </c>
      <c r="AF297" t="s">
        <v>155</v>
      </c>
      <c r="AI297">
        <v>6.1</v>
      </c>
      <c r="AL297" t="s">
        <v>155</v>
      </c>
      <c r="AO297" t="s">
        <v>155</v>
      </c>
      <c r="AR297">
        <v>11.9</v>
      </c>
      <c r="AU297" t="s">
        <v>155</v>
      </c>
      <c r="AX297" t="s">
        <v>155</v>
      </c>
      <c r="BA297">
        <v>42.2</v>
      </c>
      <c r="BD297">
        <v>36.6</v>
      </c>
      <c r="BG297" t="s">
        <v>155</v>
      </c>
    </row>
    <row r="298" spans="1:61" x14ac:dyDescent="0.2">
      <c r="A298" t="s">
        <v>833</v>
      </c>
      <c r="B298" t="s">
        <v>834</v>
      </c>
      <c r="C298" t="s">
        <v>478</v>
      </c>
      <c r="D298" t="s">
        <v>479</v>
      </c>
      <c r="E298" s="1" t="s">
        <v>8</v>
      </c>
      <c r="F298" s="1" t="s">
        <v>141</v>
      </c>
      <c r="G298" t="s">
        <v>840</v>
      </c>
      <c r="H298" t="s">
        <v>155</v>
      </c>
      <c r="K298">
        <v>3.7</v>
      </c>
      <c r="N298">
        <v>103</v>
      </c>
      <c r="Q298">
        <v>1</v>
      </c>
      <c r="T298" t="s">
        <v>155</v>
      </c>
      <c r="W298">
        <v>14.1</v>
      </c>
      <c r="Z298">
        <v>6.9</v>
      </c>
      <c r="AC298">
        <v>13.9</v>
      </c>
      <c r="AF298" t="s">
        <v>155</v>
      </c>
      <c r="AI298">
        <v>5.8</v>
      </c>
      <c r="AL298" t="s">
        <v>155</v>
      </c>
      <c r="AO298" t="s">
        <v>155</v>
      </c>
      <c r="AR298">
        <v>6.6</v>
      </c>
      <c r="AU298" t="s">
        <v>155</v>
      </c>
      <c r="AX298" t="s">
        <v>155</v>
      </c>
      <c r="BA298">
        <v>39.4</v>
      </c>
      <c r="BD298">
        <v>27.2</v>
      </c>
      <c r="BG298" t="s">
        <v>155</v>
      </c>
    </row>
    <row r="299" spans="1:61" x14ac:dyDescent="0.2">
      <c r="A299" s="10" t="s">
        <v>841</v>
      </c>
      <c r="B299" s="10" t="s">
        <v>842</v>
      </c>
      <c r="C299" s="10" t="s">
        <v>249</v>
      </c>
      <c r="D299" s="10" t="s">
        <v>250</v>
      </c>
      <c r="E299" s="11"/>
      <c r="F299" s="11" t="s">
        <v>140</v>
      </c>
      <c r="G299" s="10" t="s">
        <v>690</v>
      </c>
      <c r="H299">
        <v>41000</v>
      </c>
      <c r="L299" s="16">
        <f>(2.7*1.74)</f>
        <v>4.6980000000000004</v>
      </c>
      <c r="N299">
        <v>87</v>
      </c>
      <c r="S299">
        <v>0.98</v>
      </c>
      <c r="T299">
        <v>290</v>
      </c>
      <c r="X299" s="16">
        <f>(18*1.29)</f>
        <v>23.22</v>
      </c>
      <c r="Z299">
        <v>9</v>
      </c>
      <c r="AC299">
        <v>6.8</v>
      </c>
      <c r="AF299">
        <v>25000</v>
      </c>
      <c r="AI299">
        <v>16</v>
      </c>
      <c r="AL299">
        <v>2400</v>
      </c>
      <c r="AO299">
        <v>4209</v>
      </c>
      <c r="AR299">
        <v>7.3</v>
      </c>
      <c r="AU299">
        <v>28000</v>
      </c>
      <c r="AZ299">
        <v>170</v>
      </c>
      <c r="BA299">
        <v>44</v>
      </c>
      <c r="BD299">
        <v>44</v>
      </c>
      <c r="BI299">
        <v>0.2</v>
      </c>
    </row>
    <row r="300" spans="1:61" x14ac:dyDescent="0.2">
      <c r="A300" t="s">
        <v>843</v>
      </c>
      <c r="B300" t="s">
        <v>844</v>
      </c>
      <c r="C300" t="s">
        <v>180</v>
      </c>
      <c r="D300" t="s">
        <v>135</v>
      </c>
      <c r="E300" s="1" t="s">
        <v>8</v>
      </c>
      <c r="F300" s="1" t="s">
        <v>140</v>
      </c>
      <c r="G300" t="s">
        <v>845</v>
      </c>
      <c r="H300">
        <v>32133</v>
      </c>
      <c r="K300">
        <v>1.1200000000000001</v>
      </c>
      <c r="N300">
        <v>230</v>
      </c>
      <c r="Q300">
        <v>0.2</v>
      </c>
      <c r="T300" t="s">
        <v>155</v>
      </c>
      <c r="W300">
        <v>127.37</v>
      </c>
      <c r="Z300">
        <v>12.5</v>
      </c>
      <c r="AC300">
        <v>180</v>
      </c>
      <c r="AF300" t="s">
        <v>155</v>
      </c>
      <c r="AI300">
        <v>3.61</v>
      </c>
      <c r="AL300" t="s">
        <v>155</v>
      </c>
      <c r="AO300">
        <v>873</v>
      </c>
      <c r="AR300" t="s">
        <v>155</v>
      </c>
      <c r="AU300" t="s">
        <v>155</v>
      </c>
      <c r="AX300" t="s">
        <v>155</v>
      </c>
      <c r="BA300" t="s">
        <v>155</v>
      </c>
      <c r="BD300">
        <v>115.67</v>
      </c>
      <c r="BG300" t="s">
        <v>155</v>
      </c>
    </row>
    <row r="301" spans="1:61" x14ac:dyDescent="0.2">
      <c r="A301" t="s">
        <v>846</v>
      </c>
      <c r="B301" t="s">
        <v>847</v>
      </c>
      <c r="C301" t="s">
        <v>542</v>
      </c>
      <c r="D301" t="s">
        <v>304</v>
      </c>
      <c r="E301" s="1" t="s">
        <v>168</v>
      </c>
      <c r="F301" s="1" t="s">
        <v>140</v>
      </c>
      <c r="G301" t="s">
        <v>848</v>
      </c>
      <c r="H301" t="s">
        <v>155</v>
      </c>
      <c r="K301" t="s">
        <v>155</v>
      </c>
      <c r="N301" t="s">
        <v>155</v>
      </c>
      <c r="Q301">
        <v>0.18</v>
      </c>
      <c r="T301" t="s">
        <v>155</v>
      </c>
      <c r="W301">
        <v>5.35</v>
      </c>
      <c r="Z301" t="s">
        <v>155</v>
      </c>
      <c r="AC301">
        <v>5.9</v>
      </c>
      <c r="AF301" t="s">
        <v>155</v>
      </c>
      <c r="AI301">
        <v>6.75</v>
      </c>
      <c r="AL301" t="s">
        <v>155</v>
      </c>
      <c r="AO301" t="s">
        <v>155</v>
      </c>
      <c r="AR301">
        <v>2.2000000000000002</v>
      </c>
      <c r="AU301" t="s">
        <v>155</v>
      </c>
      <c r="AX301" t="s">
        <v>155</v>
      </c>
      <c r="BA301" t="s">
        <v>155</v>
      </c>
      <c r="BD301">
        <v>5.75</v>
      </c>
      <c r="BG301">
        <v>2.1999999999999999E-2</v>
      </c>
    </row>
    <row r="302" spans="1:61" x14ac:dyDescent="0.2">
      <c r="A302" t="s">
        <v>846</v>
      </c>
      <c r="B302" t="s">
        <v>847</v>
      </c>
      <c r="C302" t="s">
        <v>542</v>
      </c>
      <c r="D302" t="s">
        <v>304</v>
      </c>
      <c r="E302" s="1" t="s">
        <v>168</v>
      </c>
      <c r="F302" s="1" t="s">
        <v>140</v>
      </c>
      <c r="G302" t="s">
        <v>849</v>
      </c>
      <c r="H302" t="s">
        <v>155</v>
      </c>
      <c r="K302">
        <v>0.26</v>
      </c>
      <c r="N302">
        <v>4.5</v>
      </c>
      <c r="Q302">
        <v>0.23</v>
      </c>
      <c r="T302" t="s">
        <v>155</v>
      </c>
      <c r="W302">
        <v>3.34</v>
      </c>
      <c r="Z302" t="s">
        <v>155</v>
      </c>
      <c r="AC302" t="s">
        <v>155</v>
      </c>
      <c r="AF302" t="s">
        <v>155</v>
      </c>
      <c r="AI302">
        <v>11.38</v>
      </c>
      <c r="AL302" t="s">
        <v>155</v>
      </c>
      <c r="AO302" t="s">
        <v>155</v>
      </c>
      <c r="AR302" t="s">
        <v>155</v>
      </c>
      <c r="AU302" t="s">
        <v>155</v>
      </c>
      <c r="AX302" t="s">
        <v>155</v>
      </c>
      <c r="BA302" t="s">
        <v>155</v>
      </c>
      <c r="BD302" t="s">
        <v>155</v>
      </c>
    </row>
    <row r="303" spans="1:61" x14ac:dyDescent="0.2">
      <c r="A303" t="s">
        <v>846</v>
      </c>
      <c r="B303" t="s">
        <v>847</v>
      </c>
      <c r="C303" t="s">
        <v>542</v>
      </c>
      <c r="D303" t="s">
        <v>304</v>
      </c>
      <c r="E303" s="1" t="s">
        <v>168</v>
      </c>
      <c r="F303" s="1" t="s">
        <v>140</v>
      </c>
      <c r="G303" t="s">
        <v>850</v>
      </c>
      <c r="H303" t="s">
        <v>155</v>
      </c>
      <c r="K303">
        <v>0.47</v>
      </c>
      <c r="N303">
        <v>3.8</v>
      </c>
      <c r="Q303">
        <v>0.15</v>
      </c>
      <c r="T303" t="s">
        <v>155</v>
      </c>
      <c r="W303">
        <v>2.08</v>
      </c>
      <c r="Z303" t="s">
        <v>155</v>
      </c>
      <c r="AC303" t="s">
        <v>155</v>
      </c>
      <c r="AF303" t="s">
        <v>155</v>
      </c>
      <c r="AI303">
        <v>10</v>
      </c>
      <c r="AL303" t="s">
        <v>155</v>
      </c>
      <c r="AO303" t="s">
        <v>155</v>
      </c>
      <c r="AR303" t="s">
        <v>155</v>
      </c>
      <c r="AU303" t="s">
        <v>155</v>
      </c>
      <c r="AX303" t="s">
        <v>155</v>
      </c>
      <c r="BA303" t="s">
        <v>155</v>
      </c>
      <c r="BD303" t="s">
        <v>155</v>
      </c>
    </row>
    <row r="304" spans="1:61" x14ac:dyDescent="0.2">
      <c r="A304" t="s">
        <v>846</v>
      </c>
      <c r="B304" t="s">
        <v>847</v>
      </c>
      <c r="C304" t="s">
        <v>542</v>
      </c>
      <c r="D304" t="s">
        <v>304</v>
      </c>
      <c r="E304" s="1" t="s">
        <v>168</v>
      </c>
      <c r="F304" s="1" t="s">
        <v>140</v>
      </c>
      <c r="G304" t="s">
        <v>851</v>
      </c>
      <c r="H304" t="s">
        <v>155</v>
      </c>
      <c r="K304" t="s">
        <v>155</v>
      </c>
      <c r="N304" t="s">
        <v>155</v>
      </c>
      <c r="Q304">
        <v>0.1</v>
      </c>
      <c r="T304" t="s">
        <v>155</v>
      </c>
      <c r="W304">
        <v>3.5</v>
      </c>
      <c r="Z304" t="s">
        <v>155</v>
      </c>
      <c r="AC304">
        <v>0.38</v>
      </c>
      <c r="AF304" t="s">
        <v>155</v>
      </c>
      <c r="AI304">
        <v>4.7</v>
      </c>
      <c r="AL304" t="s">
        <v>155</v>
      </c>
      <c r="AO304">
        <v>61.88</v>
      </c>
      <c r="AR304">
        <v>0.24</v>
      </c>
      <c r="AU304" t="s">
        <v>155</v>
      </c>
      <c r="AX304" t="s">
        <v>155</v>
      </c>
      <c r="BA304" t="s">
        <v>155</v>
      </c>
      <c r="BD304">
        <v>5</v>
      </c>
    </row>
    <row r="305" spans="1:61" x14ac:dyDescent="0.2">
      <c r="A305" t="s">
        <v>846</v>
      </c>
      <c r="B305" t="s">
        <v>847</v>
      </c>
      <c r="C305" t="s">
        <v>542</v>
      </c>
      <c r="D305" t="s">
        <v>304</v>
      </c>
      <c r="E305" s="1" t="s">
        <v>168</v>
      </c>
      <c r="F305" s="1" t="s">
        <v>140</v>
      </c>
      <c r="G305" t="s">
        <v>852</v>
      </c>
      <c r="H305" t="s">
        <v>155</v>
      </c>
      <c r="K305" t="s">
        <v>155</v>
      </c>
      <c r="N305" t="s">
        <v>155</v>
      </c>
      <c r="Q305">
        <v>0.05</v>
      </c>
      <c r="T305" t="s">
        <v>155</v>
      </c>
      <c r="W305">
        <v>16.850000000000001</v>
      </c>
      <c r="Z305" t="s">
        <v>155</v>
      </c>
      <c r="AC305">
        <v>7.65</v>
      </c>
      <c r="AF305" t="s">
        <v>155</v>
      </c>
      <c r="AI305">
        <v>4.75</v>
      </c>
      <c r="AL305" t="s">
        <v>155</v>
      </c>
      <c r="AO305">
        <v>85</v>
      </c>
      <c r="AR305">
        <v>0.78</v>
      </c>
      <c r="AU305" t="s">
        <v>155</v>
      </c>
      <c r="AX305" t="s">
        <v>155</v>
      </c>
      <c r="BA305" t="s">
        <v>155</v>
      </c>
      <c r="BD305">
        <v>62.5</v>
      </c>
    </row>
    <row r="306" spans="1:61" x14ac:dyDescent="0.2">
      <c r="A306" s="10" t="s">
        <v>853</v>
      </c>
      <c r="B306" s="10" t="s">
        <v>854</v>
      </c>
      <c r="C306" s="10" t="s">
        <v>190</v>
      </c>
      <c r="D306" s="10" t="s">
        <v>191</v>
      </c>
      <c r="E306" s="11" t="s">
        <v>168</v>
      </c>
      <c r="F306" s="11" t="s">
        <v>140</v>
      </c>
      <c r="G306" s="10" t="s">
        <v>831</v>
      </c>
      <c r="H306">
        <v>12000</v>
      </c>
      <c r="L306" s="16">
        <f>(8.1*1.74)</f>
        <v>14.093999999999999</v>
      </c>
      <c r="N306">
        <v>37</v>
      </c>
      <c r="S306">
        <v>0.17</v>
      </c>
      <c r="U306" s="16">
        <f>(1100*1.28)</f>
        <v>1408</v>
      </c>
      <c r="W306">
        <v>35</v>
      </c>
      <c r="AB306">
        <v>4</v>
      </c>
      <c r="AC306">
        <v>130</v>
      </c>
      <c r="AF306">
        <v>36000</v>
      </c>
      <c r="AI306">
        <v>27</v>
      </c>
      <c r="AL306">
        <v>760</v>
      </c>
      <c r="AO306">
        <v>86</v>
      </c>
      <c r="AR306">
        <v>4.2</v>
      </c>
      <c r="AU306">
        <v>300</v>
      </c>
      <c r="AZ306">
        <v>170</v>
      </c>
      <c r="BA306">
        <v>45</v>
      </c>
      <c r="BD306">
        <v>25</v>
      </c>
      <c r="BI306">
        <v>0.12</v>
      </c>
    </row>
    <row r="307" spans="1:61" x14ac:dyDescent="0.2">
      <c r="A307" s="10" t="s">
        <v>853</v>
      </c>
      <c r="B307" s="10" t="s">
        <v>854</v>
      </c>
      <c r="C307" s="10" t="s">
        <v>190</v>
      </c>
      <c r="D307" s="10" t="s">
        <v>191</v>
      </c>
      <c r="E307" s="11" t="s">
        <v>168</v>
      </c>
      <c r="F307" s="11" t="s">
        <v>141</v>
      </c>
      <c r="G307" s="10" t="s">
        <v>855</v>
      </c>
      <c r="H307">
        <v>15000</v>
      </c>
      <c r="L307" s="16">
        <f>(9.5*1.74)</f>
        <v>16.53</v>
      </c>
      <c r="N307">
        <v>37</v>
      </c>
      <c r="S307">
        <v>0.24</v>
      </c>
      <c r="U307" s="16">
        <f>(180*1.28)</f>
        <v>230.4</v>
      </c>
      <c r="W307">
        <v>16</v>
      </c>
      <c r="Z307">
        <v>8.3000000000000007</v>
      </c>
      <c r="AE307">
        <v>50</v>
      </c>
      <c r="AF307">
        <v>41000</v>
      </c>
      <c r="AI307">
        <v>29</v>
      </c>
      <c r="AL307">
        <v>2500</v>
      </c>
      <c r="AO307">
        <v>790</v>
      </c>
      <c r="AR307">
        <v>16</v>
      </c>
      <c r="AW307">
        <v>100</v>
      </c>
      <c r="AZ307">
        <v>280</v>
      </c>
      <c r="BA307">
        <v>39</v>
      </c>
      <c r="BD307">
        <v>34</v>
      </c>
      <c r="BH307" s="16">
        <f>(0.16*1.83)</f>
        <v>0.2928</v>
      </c>
    </row>
    <row r="308" spans="1:61" x14ac:dyDescent="0.2">
      <c r="A308" s="10" t="s">
        <v>853</v>
      </c>
      <c r="B308" s="10" t="s">
        <v>854</v>
      </c>
      <c r="C308" s="10" t="s">
        <v>190</v>
      </c>
      <c r="D308" s="10" t="s">
        <v>191</v>
      </c>
      <c r="E308" s="11" t="s">
        <v>168</v>
      </c>
      <c r="F308" s="11" t="s">
        <v>153</v>
      </c>
      <c r="G308" s="10" t="s">
        <v>855</v>
      </c>
      <c r="H308">
        <v>12000</v>
      </c>
      <c r="L308" s="16">
        <f>(11*1.74)</f>
        <v>19.14</v>
      </c>
      <c r="N308">
        <v>66</v>
      </c>
      <c r="S308">
        <v>1</v>
      </c>
      <c r="U308" s="16">
        <f>(1700*1.28)</f>
        <v>2176</v>
      </c>
      <c r="W308">
        <v>27</v>
      </c>
      <c r="AB308">
        <v>7</v>
      </c>
      <c r="AE308">
        <v>40</v>
      </c>
      <c r="AF308">
        <v>34000</v>
      </c>
      <c r="AI308">
        <v>34</v>
      </c>
      <c r="AL308">
        <v>1600</v>
      </c>
      <c r="AO308">
        <v>420</v>
      </c>
      <c r="AR308">
        <v>13</v>
      </c>
      <c r="AU308">
        <v>190</v>
      </c>
      <c r="AZ308">
        <v>370</v>
      </c>
      <c r="BA308">
        <v>44</v>
      </c>
      <c r="BD308">
        <v>44</v>
      </c>
      <c r="BI308">
        <v>0.23</v>
      </c>
    </row>
    <row r="309" spans="1:61" ht="16" x14ac:dyDescent="0.2">
      <c r="A309" s="15" t="s">
        <v>856</v>
      </c>
      <c r="B309" t="s">
        <v>857</v>
      </c>
      <c r="C309" t="s">
        <v>858</v>
      </c>
      <c r="D309" t="s">
        <v>555</v>
      </c>
      <c r="E309" s="1" t="s">
        <v>168</v>
      </c>
      <c r="F309" s="1" t="s">
        <v>140</v>
      </c>
      <c r="G309" t="s">
        <v>859</v>
      </c>
      <c r="H309">
        <v>14900</v>
      </c>
      <c r="M309">
        <v>10</v>
      </c>
      <c r="N309">
        <v>72.900000000000006</v>
      </c>
      <c r="Q309" t="s">
        <v>155</v>
      </c>
      <c r="T309" t="s">
        <v>155</v>
      </c>
      <c r="W309">
        <v>13.8</v>
      </c>
      <c r="AB309">
        <v>50</v>
      </c>
      <c r="AC309">
        <v>7</v>
      </c>
      <c r="AF309">
        <v>22300</v>
      </c>
      <c r="AJ309" s="16">
        <f>(11.5*1.44)</f>
        <v>16.559999999999999</v>
      </c>
      <c r="AL309">
        <v>2540</v>
      </c>
      <c r="AO309">
        <v>236</v>
      </c>
      <c r="AR309">
        <v>11.3</v>
      </c>
      <c r="AU309">
        <v>1680</v>
      </c>
      <c r="AZ309">
        <v>5000</v>
      </c>
      <c r="BA309">
        <v>24.6</v>
      </c>
      <c r="BD309">
        <v>43</v>
      </c>
      <c r="BG309" t="s">
        <v>155</v>
      </c>
    </row>
    <row r="310" spans="1:61" ht="16" x14ac:dyDescent="0.2">
      <c r="A310" s="15" t="s">
        <v>856</v>
      </c>
      <c r="B310" t="s">
        <v>857</v>
      </c>
      <c r="C310" t="s">
        <v>858</v>
      </c>
      <c r="D310" t="s">
        <v>555</v>
      </c>
      <c r="E310" s="1" t="s">
        <v>168</v>
      </c>
      <c r="F310" s="1" t="s">
        <v>141</v>
      </c>
      <c r="G310" t="s">
        <v>860</v>
      </c>
      <c r="H310">
        <v>16400</v>
      </c>
      <c r="K310" s="13"/>
      <c r="M310">
        <v>10</v>
      </c>
      <c r="N310">
        <v>78.900000000000006</v>
      </c>
      <c r="Q310" t="s">
        <v>155</v>
      </c>
      <c r="T310" t="s">
        <v>155</v>
      </c>
      <c r="W310">
        <v>18</v>
      </c>
      <c r="AB310">
        <v>50</v>
      </c>
      <c r="AC310">
        <v>9.5</v>
      </c>
      <c r="AF310">
        <v>24000</v>
      </c>
      <c r="AJ310" s="16">
        <f>(10.4*1.44)</f>
        <v>14.975999999999999</v>
      </c>
      <c r="AL310">
        <v>3320</v>
      </c>
      <c r="AO310">
        <v>234</v>
      </c>
      <c r="AR310">
        <v>11.6</v>
      </c>
      <c r="AU310">
        <v>2150</v>
      </c>
      <c r="AZ310">
        <v>5000</v>
      </c>
      <c r="BA310">
        <v>29.1</v>
      </c>
      <c r="BD310">
        <v>55.4</v>
      </c>
      <c r="BG310" t="s">
        <v>155</v>
      </c>
    </row>
    <row r="311" spans="1:61" x14ac:dyDescent="0.2">
      <c r="A311" t="s">
        <v>861</v>
      </c>
      <c r="B311" t="s">
        <v>862</v>
      </c>
      <c r="C311" t="s">
        <v>863</v>
      </c>
      <c r="D311" t="s">
        <v>864</v>
      </c>
      <c r="E311" s="1" t="s">
        <v>168</v>
      </c>
      <c r="F311" s="1" t="s">
        <v>153</v>
      </c>
      <c r="G311" t="s">
        <v>865</v>
      </c>
      <c r="H311" t="s">
        <v>155</v>
      </c>
      <c r="M311">
        <v>4</v>
      </c>
      <c r="P311">
        <v>6</v>
      </c>
      <c r="S311">
        <v>4</v>
      </c>
      <c r="T311" t="s">
        <v>155</v>
      </c>
      <c r="W311">
        <v>6</v>
      </c>
      <c r="AB311">
        <v>10</v>
      </c>
      <c r="AE311">
        <v>10</v>
      </c>
      <c r="AF311">
        <v>9074</v>
      </c>
      <c r="AI311">
        <v>4</v>
      </c>
      <c r="AL311" t="s">
        <v>155</v>
      </c>
      <c r="AO311" t="s">
        <v>155</v>
      </c>
      <c r="AT311">
        <v>4</v>
      </c>
      <c r="AU311" t="s">
        <v>155</v>
      </c>
      <c r="AX311" t="s">
        <v>155</v>
      </c>
      <c r="BA311" t="s">
        <v>155</v>
      </c>
      <c r="BF311">
        <v>10</v>
      </c>
      <c r="BI311">
        <v>0.1</v>
      </c>
    </row>
    <row r="312" spans="1:61" x14ac:dyDescent="0.2">
      <c r="A312" t="s">
        <v>861</v>
      </c>
      <c r="B312" t="s">
        <v>862</v>
      </c>
      <c r="C312" t="s">
        <v>863</v>
      </c>
      <c r="D312" t="s">
        <v>864</v>
      </c>
      <c r="E312" s="1" t="s">
        <v>168</v>
      </c>
      <c r="F312" s="1" t="s">
        <v>153</v>
      </c>
      <c r="G312" t="s">
        <v>866</v>
      </c>
      <c r="H312" t="s">
        <v>155</v>
      </c>
      <c r="M312">
        <v>4</v>
      </c>
      <c r="P312">
        <v>6</v>
      </c>
      <c r="S312">
        <v>4</v>
      </c>
      <c r="T312" t="s">
        <v>155</v>
      </c>
      <c r="Y312">
        <v>4</v>
      </c>
      <c r="AB312">
        <v>10</v>
      </c>
      <c r="AE312">
        <v>10</v>
      </c>
      <c r="AF312">
        <v>1831</v>
      </c>
      <c r="AK312">
        <v>4</v>
      </c>
      <c r="AL312" t="s">
        <v>155</v>
      </c>
      <c r="AO312" t="s">
        <v>155</v>
      </c>
      <c r="AT312">
        <v>4</v>
      </c>
      <c r="AU312" t="s">
        <v>155</v>
      </c>
      <c r="AX312" t="s">
        <v>155</v>
      </c>
      <c r="BA312" t="s">
        <v>155</v>
      </c>
      <c r="BF312">
        <v>10</v>
      </c>
      <c r="BI312">
        <v>0.1</v>
      </c>
    </row>
    <row r="313" spans="1:61" x14ac:dyDescent="0.2">
      <c r="A313" t="s">
        <v>861</v>
      </c>
      <c r="B313" t="s">
        <v>862</v>
      </c>
      <c r="C313" t="s">
        <v>863</v>
      </c>
      <c r="D313" t="s">
        <v>864</v>
      </c>
      <c r="E313" s="1" t="s">
        <v>168</v>
      </c>
      <c r="F313" s="1" t="s">
        <v>141</v>
      </c>
      <c r="G313" t="s">
        <v>867</v>
      </c>
      <c r="H313" t="s">
        <v>155</v>
      </c>
      <c r="M313">
        <v>4</v>
      </c>
      <c r="N313">
        <v>16</v>
      </c>
      <c r="S313">
        <v>4</v>
      </c>
      <c r="T313" t="s">
        <v>155</v>
      </c>
      <c r="W313">
        <v>12</v>
      </c>
      <c r="AB313">
        <v>10</v>
      </c>
      <c r="AE313">
        <v>10</v>
      </c>
      <c r="AF313">
        <v>10903</v>
      </c>
      <c r="AI313">
        <v>6</v>
      </c>
      <c r="AL313" t="s">
        <v>155</v>
      </c>
      <c r="AO313" t="s">
        <v>155</v>
      </c>
      <c r="AR313">
        <v>6</v>
      </c>
      <c r="AU313" t="s">
        <v>155</v>
      </c>
      <c r="AX313" t="s">
        <v>155</v>
      </c>
      <c r="BA313" t="s">
        <v>155</v>
      </c>
      <c r="BD313">
        <v>14</v>
      </c>
      <c r="BI313">
        <v>0.1</v>
      </c>
    </row>
    <row r="314" spans="1:61" x14ac:dyDescent="0.2">
      <c r="A314" s="10" t="s">
        <v>868</v>
      </c>
      <c r="B314" s="10" t="s">
        <v>869</v>
      </c>
      <c r="C314" s="10" t="s">
        <v>584</v>
      </c>
      <c r="D314" s="10" t="s">
        <v>532</v>
      </c>
      <c r="E314" s="11" t="s">
        <v>8</v>
      </c>
      <c r="F314" s="11" t="s">
        <v>141</v>
      </c>
      <c r="G314" s="10" t="s">
        <v>870</v>
      </c>
      <c r="H314">
        <v>32000</v>
      </c>
      <c r="M314">
        <v>3.8</v>
      </c>
      <c r="N314">
        <v>110</v>
      </c>
      <c r="S314">
        <v>0.67</v>
      </c>
      <c r="T314">
        <v>120</v>
      </c>
      <c r="W314">
        <v>41</v>
      </c>
      <c r="AA314" s="16">
        <f>(41*1.25)</f>
        <v>51.25</v>
      </c>
      <c r="AD314" s="16">
        <f>(95*1.22)</f>
        <v>115.89999999999999</v>
      </c>
      <c r="AF314">
        <v>62000</v>
      </c>
      <c r="AI314">
        <v>6.5</v>
      </c>
      <c r="AL314">
        <v>2900</v>
      </c>
      <c r="AP314" s="16">
        <f>(460*1.23)</f>
        <v>565.79999999999995</v>
      </c>
      <c r="AR314">
        <v>6.3</v>
      </c>
      <c r="AU314">
        <v>1400</v>
      </c>
      <c r="AZ314">
        <v>130</v>
      </c>
      <c r="BA314">
        <v>210</v>
      </c>
      <c r="BE314" s="16">
        <f>(30*1.5)</f>
        <v>45</v>
      </c>
      <c r="BI314">
        <v>0.13</v>
      </c>
    </row>
    <row r="315" spans="1:61" x14ac:dyDescent="0.2">
      <c r="A315" s="10" t="s">
        <v>868</v>
      </c>
      <c r="B315" s="10" t="s">
        <v>871</v>
      </c>
      <c r="C315" s="10" t="s">
        <v>584</v>
      </c>
      <c r="D315" s="10" t="s">
        <v>532</v>
      </c>
      <c r="E315" s="11" t="s">
        <v>8</v>
      </c>
      <c r="F315" s="11" t="s">
        <v>153</v>
      </c>
      <c r="G315" s="10" t="s">
        <v>872</v>
      </c>
      <c r="H315">
        <v>6500</v>
      </c>
      <c r="M315">
        <v>2</v>
      </c>
      <c r="N315">
        <v>50</v>
      </c>
      <c r="S315">
        <v>0.6</v>
      </c>
      <c r="T315">
        <v>12000</v>
      </c>
      <c r="W315">
        <v>30</v>
      </c>
      <c r="AA315" s="16">
        <f>(13*1.25)</f>
        <v>16.25</v>
      </c>
      <c r="AD315" s="16">
        <f>(20*1.22)</f>
        <v>24.4</v>
      </c>
      <c r="AF315">
        <v>18000</v>
      </c>
      <c r="AI315">
        <v>5.7</v>
      </c>
      <c r="AL315">
        <v>1400</v>
      </c>
      <c r="AP315" s="16">
        <f>(160*1.24)</f>
        <v>198.4</v>
      </c>
      <c r="AR315">
        <v>4.0999999999999996</v>
      </c>
      <c r="AU315">
        <v>810</v>
      </c>
      <c r="AZ315">
        <v>130</v>
      </c>
      <c r="BA315">
        <v>62</v>
      </c>
      <c r="BE315" s="16">
        <f>(13*1.5)</f>
        <v>19.5</v>
      </c>
      <c r="BI315">
        <v>0.11</v>
      </c>
    </row>
    <row r="316" spans="1:61" x14ac:dyDescent="0.2">
      <c r="A316" t="s">
        <v>873</v>
      </c>
      <c r="B316" t="s">
        <v>874</v>
      </c>
      <c r="C316" t="s">
        <v>875</v>
      </c>
      <c r="D316" t="s">
        <v>876</v>
      </c>
      <c r="E316" s="1" t="s">
        <v>8</v>
      </c>
      <c r="F316" s="1" t="s">
        <v>140</v>
      </c>
      <c r="G316" t="s">
        <v>877</v>
      </c>
      <c r="H316" t="s">
        <v>155</v>
      </c>
      <c r="K316">
        <v>7.8</v>
      </c>
      <c r="N316">
        <v>14</v>
      </c>
      <c r="S316">
        <v>9.8000000000000007</v>
      </c>
      <c r="T316" t="s">
        <v>155</v>
      </c>
      <c r="W316">
        <v>12</v>
      </c>
      <c r="Z316" t="s">
        <v>155</v>
      </c>
      <c r="AE316">
        <v>9.8000000000000007</v>
      </c>
      <c r="AF316" t="s">
        <v>155</v>
      </c>
      <c r="AI316">
        <v>20</v>
      </c>
      <c r="AL316" t="s">
        <v>155</v>
      </c>
      <c r="AO316" t="s">
        <v>155</v>
      </c>
      <c r="AT316">
        <v>9.8000000000000007</v>
      </c>
      <c r="AU316" t="s">
        <v>155</v>
      </c>
      <c r="AX316" t="s">
        <v>155</v>
      </c>
      <c r="BA316" t="s">
        <v>155</v>
      </c>
      <c r="BD316">
        <v>9.8000000000000007</v>
      </c>
      <c r="BI316">
        <v>0.1</v>
      </c>
    </row>
    <row r="317" spans="1:61" x14ac:dyDescent="0.2">
      <c r="A317" t="s">
        <v>873</v>
      </c>
      <c r="B317" t="s">
        <v>878</v>
      </c>
      <c r="C317" t="s">
        <v>875</v>
      </c>
      <c r="D317" t="s">
        <v>474</v>
      </c>
      <c r="E317" s="1" t="s">
        <v>8</v>
      </c>
      <c r="F317" s="1" t="s">
        <v>153</v>
      </c>
      <c r="G317" t="s">
        <v>879</v>
      </c>
      <c r="H317" t="s">
        <v>155</v>
      </c>
      <c r="K317">
        <v>12</v>
      </c>
      <c r="N317">
        <v>12</v>
      </c>
      <c r="S317">
        <v>9.8000000000000007</v>
      </c>
      <c r="T317" t="s">
        <v>155</v>
      </c>
      <c r="Y317">
        <v>9.8000000000000007</v>
      </c>
      <c r="Z317" t="s">
        <v>155</v>
      </c>
      <c r="AC317">
        <v>27</v>
      </c>
      <c r="AF317" t="s">
        <v>155</v>
      </c>
      <c r="AI317">
        <v>21</v>
      </c>
      <c r="AL317" t="s">
        <v>155</v>
      </c>
      <c r="AO317" t="s">
        <v>155</v>
      </c>
      <c r="AR317">
        <v>9.8000000000000007</v>
      </c>
      <c r="AU317" t="s">
        <v>155</v>
      </c>
      <c r="AX317" t="s">
        <v>155</v>
      </c>
      <c r="BA317" t="s">
        <v>155</v>
      </c>
      <c r="BD317">
        <v>33</v>
      </c>
      <c r="BI317">
        <v>0.08</v>
      </c>
    </row>
    <row r="318" spans="1:61" x14ac:dyDescent="0.2">
      <c r="A318" t="s">
        <v>880</v>
      </c>
      <c r="B318" t="s">
        <v>881</v>
      </c>
      <c r="C318" t="s">
        <v>415</v>
      </c>
      <c r="D318" t="s">
        <v>416</v>
      </c>
      <c r="E318" s="1" t="s">
        <v>8</v>
      </c>
      <c r="F318" s="1" t="s">
        <v>140</v>
      </c>
      <c r="G318" t="s">
        <v>344</v>
      </c>
      <c r="H318" t="s">
        <v>155</v>
      </c>
      <c r="M318">
        <v>2</v>
      </c>
      <c r="N318">
        <v>30</v>
      </c>
      <c r="S318">
        <v>15</v>
      </c>
      <c r="T318" t="s">
        <v>155</v>
      </c>
      <c r="Y318">
        <v>38</v>
      </c>
      <c r="Z318" t="s">
        <v>155</v>
      </c>
      <c r="AE318">
        <v>10</v>
      </c>
      <c r="AF318" t="s">
        <v>155</v>
      </c>
      <c r="AK318">
        <v>19</v>
      </c>
      <c r="AL318" t="s">
        <v>155</v>
      </c>
      <c r="AO318">
        <v>270</v>
      </c>
      <c r="AT318">
        <v>9</v>
      </c>
      <c r="AU318" t="s">
        <v>155</v>
      </c>
      <c r="AX318" t="s">
        <v>155</v>
      </c>
      <c r="BA318" t="s">
        <v>155</v>
      </c>
      <c r="BD318">
        <v>47</v>
      </c>
      <c r="BI318">
        <v>0.1</v>
      </c>
    </row>
    <row r="319" spans="1:61" x14ac:dyDescent="0.2">
      <c r="A319" t="s">
        <v>882</v>
      </c>
      <c r="B319" t="s">
        <v>883</v>
      </c>
      <c r="C319" t="s">
        <v>415</v>
      </c>
      <c r="D319" t="s">
        <v>491</v>
      </c>
      <c r="E319" s="1" t="s">
        <v>8</v>
      </c>
      <c r="F319" s="1" t="s">
        <v>140</v>
      </c>
      <c r="G319" t="s">
        <v>421</v>
      </c>
      <c r="H319" t="s">
        <v>155</v>
      </c>
      <c r="K319">
        <v>0.5</v>
      </c>
      <c r="N319">
        <v>20</v>
      </c>
      <c r="S319">
        <v>4</v>
      </c>
      <c r="T319" t="s">
        <v>155</v>
      </c>
      <c r="Y319">
        <v>10</v>
      </c>
      <c r="Z319" t="s">
        <v>155</v>
      </c>
      <c r="AC319" t="s">
        <v>155</v>
      </c>
      <c r="AF319" t="s">
        <v>155</v>
      </c>
      <c r="AI319">
        <v>21</v>
      </c>
      <c r="AL319" t="s">
        <v>155</v>
      </c>
      <c r="AO319" t="s">
        <v>155</v>
      </c>
      <c r="AR319" t="s">
        <v>155</v>
      </c>
      <c r="AU319" t="s">
        <v>155</v>
      </c>
      <c r="AX319" t="s">
        <v>155</v>
      </c>
      <c r="BA319" t="s">
        <v>155</v>
      </c>
      <c r="BD319" t="s">
        <v>155</v>
      </c>
      <c r="BI319">
        <v>0.1</v>
      </c>
    </row>
    <row r="320" spans="1:61" x14ac:dyDescent="0.2">
      <c r="A320" t="s">
        <v>884</v>
      </c>
      <c r="B320" t="s">
        <v>885</v>
      </c>
      <c r="C320" t="s">
        <v>886</v>
      </c>
      <c r="D320" t="s">
        <v>887</v>
      </c>
      <c r="F320" s="1" t="s">
        <v>140</v>
      </c>
      <c r="G320" t="s">
        <v>690</v>
      </c>
      <c r="H320">
        <v>3200</v>
      </c>
      <c r="M320">
        <v>1</v>
      </c>
      <c r="N320">
        <v>19</v>
      </c>
      <c r="S320">
        <v>0.71</v>
      </c>
      <c r="T320">
        <v>340</v>
      </c>
      <c r="W320">
        <v>4.3</v>
      </c>
      <c r="AB320">
        <v>2.4</v>
      </c>
      <c r="AE320">
        <v>4</v>
      </c>
      <c r="AF320">
        <v>1400</v>
      </c>
      <c r="AI320">
        <v>5</v>
      </c>
      <c r="AL320">
        <v>140</v>
      </c>
      <c r="AO320">
        <v>9</v>
      </c>
      <c r="AT320">
        <v>4.7</v>
      </c>
      <c r="AW320">
        <v>500</v>
      </c>
      <c r="AX320">
        <v>63</v>
      </c>
      <c r="BA320">
        <v>5.7</v>
      </c>
      <c r="BD320">
        <v>9.8000000000000007</v>
      </c>
      <c r="BI320">
        <v>0.06</v>
      </c>
    </row>
    <row r="321" spans="1:61" x14ac:dyDescent="0.2">
      <c r="A321" s="10" t="s">
        <v>888</v>
      </c>
      <c r="B321" s="10" t="s">
        <v>889</v>
      </c>
      <c r="C321" s="10" t="s">
        <v>890</v>
      </c>
      <c r="D321" s="10" t="s">
        <v>890</v>
      </c>
      <c r="E321" s="11"/>
      <c r="F321" s="11" t="s">
        <v>140</v>
      </c>
      <c r="G321" s="10" t="s">
        <v>891</v>
      </c>
      <c r="H321">
        <v>9600</v>
      </c>
      <c r="M321">
        <v>2</v>
      </c>
      <c r="N321">
        <v>70</v>
      </c>
      <c r="S321">
        <v>0.69</v>
      </c>
      <c r="T321">
        <v>1500</v>
      </c>
      <c r="Y321">
        <v>20</v>
      </c>
      <c r="Z321">
        <v>4.3</v>
      </c>
      <c r="AE321">
        <v>7</v>
      </c>
      <c r="AF321">
        <v>7300</v>
      </c>
      <c r="AJ321" s="16">
        <f>(2.6*1.44)</f>
        <v>3.7439999999999998</v>
      </c>
      <c r="AL321">
        <v>540</v>
      </c>
      <c r="AO321">
        <v>490</v>
      </c>
      <c r="AR321">
        <v>6.6</v>
      </c>
      <c r="AW321">
        <v>480</v>
      </c>
      <c r="AZ321">
        <v>180</v>
      </c>
      <c r="BA321">
        <v>16</v>
      </c>
      <c r="BD321">
        <v>26</v>
      </c>
      <c r="BI321">
        <v>0.2</v>
      </c>
    </row>
    <row r="322" spans="1:61" x14ac:dyDescent="0.2">
      <c r="A322" s="10" t="s">
        <v>888</v>
      </c>
      <c r="B322" s="10" t="s">
        <v>889</v>
      </c>
      <c r="C322" s="10" t="s">
        <v>890</v>
      </c>
      <c r="D322" s="10" t="s">
        <v>890</v>
      </c>
      <c r="E322" s="11"/>
      <c r="F322" s="11" t="s">
        <v>141</v>
      </c>
      <c r="G322" s="10" t="s">
        <v>892</v>
      </c>
      <c r="H322">
        <v>23000</v>
      </c>
      <c r="M322">
        <v>2</v>
      </c>
      <c r="N322">
        <v>100</v>
      </c>
      <c r="S322">
        <v>0.72</v>
      </c>
      <c r="V322">
        <v>900</v>
      </c>
      <c r="W322">
        <v>20</v>
      </c>
      <c r="Z322">
        <v>4.9000000000000004</v>
      </c>
      <c r="AE322">
        <v>7</v>
      </c>
      <c r="AF322">
        <v>17000</v>
      </c>
      <c r="AJ322" s="16">
        <f>(10*1.44)</f>
        <v>14.399999999999999</v>
      </c>
      <c r="AL322">
        <v>760</v>
      </c>
      <c r="AO322">
        <v>74</v>
      </c>
      <c r="AR322">
        <v>6.9</v>
      </c>
      <c r="AW322">
        <v>620</v>
      </c>
      <c r="AZ322">
        <v>210</v>
      </c>
      <c r="BA322">
        <v>35</v>
      </c>
      <c r="BD322">
        <v>19</v>
      </c>
      <c r="BI322">
        <v>0.3</v>
      </c>
    </row>
    <row r="323" spans="1:61" x14ac:dyDescent="0.2">
      <c r="A323" t="s">
        <v>893</v>
      </c>
      <c r="B323" t="s">
        <v>894</v>
      </c>
      <c r="C323" t="s">
        <v>478</v>
      </c>
      <c r="D323" t="s">
        <v>479</v>
      </c>
      <c r="E323" s="1" t="s">
        <v>8</v>
      </c>
      <c r="F323" s="1" t="s">
        <v>141</v>
      </c>
      <c r="G323">
        <v>3682</v>
      </c>
      <c r="H323" t="s">
        <v>155</v>
      </c>
      <c r="M323">
        <v>0.5</v>
      </c>
      <c r="N323">
        <v>91</v>
      </c>
      <c r="S323">
        <v>4</v>
      </c>
      <c r="T323" t="s">
        <v>155</v>
      </c>
      <c r="Y323">
        <v>1</v>
      </c>
      <c r="Z323" t="s">
        <v>155</v>
      </c>
      <c r="AC323" t="s">
        <v>155</v>
      </c>
      <c r="AF323" t="s">
        <v>155</v>
      </c>
      <c r="AI323">
        <v>35</v>
      </c>
      <c r="AL323" t="s">
        <v>155</v>
      </c>
      <c r="AO323" t="s">
        <v>155</v>
      </c>
      <c r="AR323" t="s">
        <v>155</v>
      </c>
      <c r="AU323" t="s">
        <v>155</v>
      </c>
      <c r="AX323" t="s">
        <v>155</v>
      </c>
      <c r="BA323" t="s">
        <v>155</v>
      </c>
      <c r="BD323" t="s">
        <v>155</v>
      </c>
      <c r="BI323">
        <v>0.1</v>
      </c>
    </row>
    <row r="324" spans="1:61" x14ac:dyDescent="0.2">
      <c r="A324" t="s">
        <v>895</v>
      </c>
      <c r="B324" t="s">
        <v>896</v>
      </c>
      <c r="C324" t="s">
        <v>897</v>
      </c>
      <c r="D324" t="s">
        <v>636</v>
      </c>
      <c r="F324" s="1" t="s">
        <v>140</v>
      </c>
      <c r="G324" t="s">
        <v>898</v>
      </c>
      <c r="H324" t="s">
        <v>155</v>
      </c>
      <c r="K324">
        <v>2.97</v>
      </c>
      <c r="N324">
        <v>9.9</v>
      </c>
      <c r="S324">
        <v>2.5</v>
      </c>
      <c r="T324" t="s">
        <v>155</v>
      </c>
      <c r="W324">
        <v>80</v>
      </c>
      <c r="Z324" t="s">
        <v>155</v>
      </c>
      <c r="AC324" t="s">
        <v>155</v>
      </c>
      <c r="AF324" t="s">
        <v>155</v>
      </c>
      <c r="AI324">
        <v>44</v>
      </c>
      <c r="AL324">
        <v>2010</v>
      </c>
      <c r="AO324" t="s">
        <v>155</v>
      </c>
      <c r="AR324" t="s">
        <v>155</v>
      </c>
      <c r="AU324" t="s">
        <v>155</v>
      </c>
      <c r="AX324" t="s">
        <v>155</v>
      </c>
      <c r="BA324" t="s">
        <v>155</v>
      </c>
      <c r="BD324">
        <v>193</v>
      </c>
      <c r="BI324">
        <v>0.2</v>
      </c>
    </row>
    <row r="325" spans="1:61" x14ac:dyDescent="0.2">
      <c r="A325" t="s">
        <v>899</v>
      </c>
      <c r="B325" t="s">
        <v>900</v>
      </c>
      <c r="C325" t="s">
        <v>579</v>
      </c>
      <c r="D325" t="s">
        <v>379</v>
      </c>
      <c r="E325" s="1" t="s">
        <v>168</v>
      </c>
      <c r="F325" s="1" t="s">
        <v>140</v>
      </c>
      <c r="G325" t="s">
        <v>901</v>
      </c>
      <c r="H325" t="s">
        <v>155</v>
      </c>
      <c r="M325">
        <v>2</v>
      </c>
      <c r="N325">
        <v>96</v>
      </c>
      <c r="Q325">
        <v>10</v>
      </c>
      <c r="T325" t="s">
        <v>155</v>
      </c>
      <c r="Y325">
        <v>10</v>
      </c>
      <c r="Z325" t="s">
        <v>155</v>
      </c>
      <c r="AC325" t="s">
        <v>155</v>
      </c>
      <c r="AF325" t="s">
        <v>155</v>
      </c>
      <c r="AI325">
        <v>47</v>
      </c>
      <c r="AL325" t="s">
        <v>155</v>
      </c>
      <c r="AO325" t="s">
        <v>155</v>
      </c>
      <c r="AT325">
        <v>9.8000000000000007</v>
      </c>
      <c r="AU325" t="s">
        <v>155</v>
      </c>
      <c r="AX325" t="s">
        <v>155</v>
      </c>
      <c r="BA325" t="s">
        <v>155</v>
      </c>
      <c r="BF325">
        <v>10</v>
      </c>
      <c r="BI325">
        <v>0.09</v>
      </c>
    </row>
    <row r="326" spans="1:61" x14ac:dyDescent="0.2">
      <c r="A326" t="s">
        <v>899</v>
      </c>
      <c r="B326" t="s">
        <v>900</v>
      </c>
      <c r="C326" t="s">
        <v>579</v>
      </c>
      <c r="D326" t="s">
        <v>379</v>
      </c>
      <c r="E326" s="1" t="s">
        <v>168</v>
      </c>
      <c r="F326" s="1" t="s">
        <v>140</v>
      </c>
      <c r="G326" t="s">
        <v>902</v>
      </c>
      <c r="H326" t="s">
        <v>155</v>
      </c>
      <c r="M326">
        <v>2</v>
      </c>
      <c r="N326">
        <v>110</v>
      </c>
      <c r="S326">
        <v>10</v>
      </c>
      <c r="T326" t="s">
        <v>155</v>
      </c>
      <c r="Y326">
        <v>10</v>
      </c>
      <c r="Z326" t="s">
        <v>155</v>
      </c>
      <c r="AE326">
        <v>16</v>
      </c>
      <c r="AF326" t="s">
        <v>155</v>
      </c>
      <c r="AI326">
        <v>47</v>
      </c>
      <c r="AL326" t="s">
        <v>155</v>
      </c>
      <c r="AO326" t="s">
        <v>155</v>
      </c>
      <c r="AT326">
        <v>9.8000000000000007</v>
      </c>
      <c r="AU326" t="s">
        <v>155</v>
      </c>
      <c r="AX326" t="s">
        <v>155</v>
      </c>
      <c r="BA326" t="s">
        <v>155</v>
      </c>
      <c r="BD326">
        <v>88</v>
      </c>
      <c r="BI326">
        <v>0.09</v>
      </c>
    </row>
    <row r="327" spans="1:61" x14ac:dyDescent="0.2">
      <c r="A327" t="s">
        <v>899</v>
      </c>
      <c r="B327" t="s">
        <v>900</v>
      </c>
      <c r="C327" t="s">
        <v>579</v>
      </c>
      <c r="D327" t="s">
        <v>379</v>
      </c>
      <c r="E327" s="1" t="s">
        <v>168</v>
      </c>
      <c r="F327" s="1" t="s">
        <v>140</v>
      </c>
      <c r="G327" t="s">
        <v>903</v>
      </c>
      <c r="H327" t="s">
        <v>155</v>
      </c>
      <c r="M327">
        <v>2</v>
      </c>
      <c r="N327">
        <v>25</v>
      </c>
      <c r="S327">
        <v>10</v>
      </c>
      <c r="T327" t="s">
        <v>155</v>
      </c>
      <c r="Y327">
        <v>10</v>
      </c>
      <c r="Z327" t="s">
        <v>155</v>
      </c>
      <c r="AE327">
        <v>10</v>
      </c>
      <c r="AF327" t="s">
        <v>155</v>
      </c>
      <c r="AK327">
        <v>20</v>
      </c>
      <c r="AL327" t="s">
        <v>155</v>
      </c>
      <c r="AO327" t="s">
        <v>155</v>
      </c>
      <c r="AT327">
        <v>9.8000000000000007</v>
      </c>
      <c r="AU327" t="s">
        <v>155</v>
      </c>
      <c r="AX327" t="s">
        <v>155</v>
      </c>
      <c r="BA327" t="s">
        <v>155</v>
      </c>
      <c r="BD327">
        <v>18</v>
      </c>
      <c r="BI327">
        <v>0.09</v>
      </c>
    </row>
    <row r="328" spans="1:61" x14ac:dyDescent="0.2">
      <c r="A328" t="s">
        <v>899</v>
      </c>
      <c r="B328" t="s">
        <v>900</v>
      </c>
      <c r="C328" t="s">
        <v>579</v>
      </c>
      <c r="D328" t="s">
        <v>379</v>
      </c>
      <c r="E328" s="1" t="s">
        <v>168</v>
      </c>
      <c r="F328" s="1" t="s">
        <v>153</v>
      </c>
      <c r="G328" t="s">
        <v>904</v>
      </c>
      <c r="H328" t="s">
        <v>155</v>
      </c>
      <c r="M328">
        <v>2</v>
      </c>
      <c r="N328">
        <v>39</v>
      </c>
      <c r="S328">
        <v>10</v>
      </c>
      <c r="T328" t="s">
        <v>155</v>
      </c>
      <c r="Y328">
        <v>10</v>
      </c>
      <c r="Z328" t="s">
        <v>155</v>
      </c>
      <c r="AE328">
        <v>10</v>
      </c>
      <c r="AF328" t="s">
        <v>155</v>
      </c>
      <c r="AK328">
        <v>19.600000000000001</v>
      </c>
      <c r="AL328" t="s">
        <v>155</v>
      </c>
      <c r="AO328" t="s">
        <v>155</v>
      </c>
      <c r="AT328">
        <v>9.8000000000000007</v>
      </c>
      <c r="AU328" t="s">
        <v>155</v>
      </c>
      <c r="AX328" t="s">
        <v>155</v>
      </c>
      <c r="BA328" t="s">
        <v>155</v>
      </c>
      <c r="BD328">
        <v>29</v>
      </c>
      <c r="BI328">
        <v>0.09</v>
      </c>
    </row>
    <row r="329" spans="1:61" x14ac:dyDescent="0.2">
      <c r="A329" s="10" t="s">
        <v>905</v>
      </c>
      <c r="B329" s="10" t="s">
        <v>906</v>
      </c>
      <c r="C329" s="10" t="s">
        <v>460</v>
      </c>
      <c r="D329" s="10" t="s">
        <v>461</v>
      </c>
      <c r="E329" s="11" t="s">
        <v>8</v>
      </c>
      <c r="F329" s="11" t="s">
        <v>140</v>
      </c>
      <c r="G329" s="10" t="s">
        <v>907</v>
      </c>
      <c r="H329">
        <v>5100</v>
      </c>
      <c r="M329">
        <v>2</v>
      </c>
      <c r="N329">
        <v>17</v>
      </c>
      <c r="S329">
        <v>0.68</v>
      </c>
      <c r="V329">
        <v>130</v>
      </c>
      <c r="W329">
        <v>4.5999999999999996</v>
      </c>
      <c r="AB329">
        <v>1.6</v>
      </c>
      <c r="AC329">
        <v>8.9</v>
      </c>
      <c r="AF329">
        <v>3100</v>
      </c>
      <c r="AJ329" s="16">
        <f>(8.6*1.44)</f>
        <v>12.383999999999999</v>
      </c>
      <c r="AL329">
        <v>85</v>
      </c>
      <c r="AO329">
        <v>3.7</v>
      </c>
      <c r="AT329">
        <v>1.4</v>
      </c>
      <c r="AU329">
        <v>92</v>
      </c>
      <c r="AX329">
        <v>18</v>
      </c>
      <c r="BA329">
        <v>9.3000000000000007</v>
      </c>
      <c r="BD329">
        <v>2.8</v>
      </c>
      <c r="BI329">
        <v>0.11</v>
      </c>
    </row>
    <row r="330" spans="1:61" x14ac:dyDescent="0.2">
      <c r="A330" s="10" t="s">
        <v>905</v>
      </c>
      <c r="B330" s="10" t="s">
        <v>906</v>
      </c>
      <c r="C330" s="10" t="s">
        <v>460</v>
      </c>
      <c r="D330" s="10" t="s">
        <v>461</v>
      </c>
      <c r="E330" s="11" t="s">
        <v>8</v>
      </c>
      <c r="F330" s="11" t="s">
        <v>141</v>
      </c>
      <c r="G330" s="10" t="s">
        <v>908</v>
      </c>
      <c r="H330">
        <v>12000</v>
      </c>
      <c r="M330">
        <v>2</v>
      </c>
      <c r="N330">
        <v>13</v>
      </c>
      <c r="S330">
        <v>0.72</v>
      </c>
      <c r="T330">
        <v>760</v>
      </c>
      <c r="W330">
        <v>11</v>
      </c>
      <c r="AB330">
        <v>1.7</v>
      </c>
      <c r="AE330">
        <v>6</v>
      </c>
      <c r="AF330">
        <v>8800</v>
      </c>
      <c r="AJ330" s="16">
        <f>(6.7*1.44)</f>
        <v>9.6479999999999997</v>
      </c>
      <c r="AL330">
        <v>170</v>
      </c>
      <c r="AO330">
        <v>10</v>
      </c>
      <c r="AR330">
        <v>8.6999999999999993</v>
      </c>
      <c r="AU330">
        <v>130</v>
      </c>
      <c r="AX330">
        <v>85</v>
      </c>
      <c r="BA330">
        <v>24</v>
      </c>
      <c r="BD330">
        <v>14</v>
      </c>
      <c r="BI330">
        <v>0.13</v>
      </c>
    </row>
    <row r="331" spans="1:61" x14ac:dyDescent="0.2">
      <c r="A331" s="10" t="s">
        <v>905</v>
      </c>
      <c r="B331" s="10" t="s">
        <v>906</v>
      </c>
      <c r="C331" s="10" t="s">
        <v>460</v>
      </c>
      <c r="D331" s="10" t="s">
        <v>461</v>
      </c>
      <c r="E331" s="11" t="s">
        <v>8</v>
      </c>
      <c r="F331" s="11" t="s">
        <v>153</v>
      </c>
      <c r="G331" s="10" t="s">
        <v>909</v>
      </c>
      <c r="H331">
        <v>4600</v>
      </c>
      <c r="M331">
        <v>2</v>
      </c>
      <c r="N331">
        <v>6.5</v>
      </c>
      <c r="S331">
        <v>0.67</v>
      </c>
      <c r="V331">
        <v>180</v>
      </c>
      <c r="W331">
        <v>6</v>
      </c>
      <c r="AB331">
        <v>1.6</v>
      </c>
      <c r="AE331">
        <v>3</v>
      </c>
      <c r="AF331">
        <v>5000</v>
      </c>
      <c r="AJ331" s="16">
        <f>(12*1.44)</f>
        <v>17.28</v>
      </c>
      <c r="AL331">
        <v>84</v>
      </c>
      <c r="AO331">
        <v>8.8000000000000007</v>
      </c>
      <c r="AT331">
        <v>1.3</v>
      </c>
      <c r="AU331">
        <v>51</v>
      </c>
      <c r="AX331">
        <v>20</v>
      </c>
      <c r="BA331">
        <v>11</v>
      </c>
      <c r="BD331">
        <v>34</v>
      </c>
      <c r="BI331">
        <v>0.11</v>
      </c>
    </row>
    <row r="332" spans="1:61" x14ac:dyDescent="0.2">
      <c r="A332" t="s">
        <v>910</v>
      </c>
      <c r="B332" t="s">
        <v>911</v>
      </c>
      <c r="C332" t="s">
        <v>912</v>
      </c>
      <c r="D332" t="s">
        <v>353</v>
      </c>
      <c r="E332" s="1" t="s">
        <v>168</v>
      </c>
      <c r="F332" s="1" t="s">
        <v>140</v>
      </c>
      <c r="G332" t="s">
        <v>913</v>
      </c>
      <c r="H332" t="s">
        <v>155</v>
      </c>
      <c r="M332">
        <v>0.61</v>
      </c>
      <c r="N332" t="s">
        <v>155</v>
      </c>
      <c r="S332">
        <v>0.31</v>
      </c>
      <c r="T332" t="s">
        <v>155</v>
      </c>
      <c r="W332">
        <v>47</v>
      </c>
      <c r="Z332" t="s">
        <v>155</v>
      </c>
      <c r="AE332">
        <v>0.61</v>
      </c>
      <c r="AF332" t="s">
        <v>155</v>
      </c>
      <c r="AI332">
        <v>7.2</v>
      </c>
      <c r="AL332" t="s">
        <v>155</v>
      </c>
      <c r="AO332" t="s">
        <v>155</v>
      </c>
      <c r="AR332">
        <v>2.2999999999999998</v>
      </c>
      <c r="AU332" t="s">
        <v>155</v>
      </c>
      <c r="AX332" t="s">
        <v>155</v>
      </c>
      <c r="BA332" t="s">
        <v>155</v>
      </c>
      <c r="BD332">
        <v>5.8</v>
      </c>
      <c r="BI332">
        <v>2.4E-2</v>
      </c>
    </row>
    <row r="333" spans="1:61" x14ac:dyDescent="0.2">
      <c r="A333" t="s">
        <v>910</v>
      </c>
      <c r="B333" t="s">
        <v>911</v>
      </c>
      <c r="C333" t="s">
        <v>912</v>
      </c>
      <c r="D333" t="s">
        <v>353</v>
      </c>
      <c r="E333" s="1" t="s">
        <v>168</v>
      </c>
      <c r="F333" s="1" t="s">
        <v>141</v>
      </c>
      <c r="G333" t="s">
        <v>914</v>
      </c>
      <c r="H333" t="s">
        <v>155</v>
      </c>
      <c r="M333">
        <v>0.64</v>
      </c>
      <c r="N333" t="s">
        <v>155</v>
      </c>
      <c r="S333">
        <v>0.32</v>
      </c>
      <c r="T333" t="s">
        <v>155</v>
      </c>
      <c r="W333">
        <v>78</v>
      </c>
      <c r="Z333" t="s">
        <v>155</v>
      </c>
      <c r="AC333">
        <v>1.7</v>
      </c>
      <c r="AF333" t="s">
        <v>155</v>
      </c>
      <c r="AI333">
        <v>96</v>
      </c>
      <c r="AL333" t="s">
        <v>155</v>
      </c>
      <c r="AO333" t="s">
        <v>155</v>
      </c>
      <c r="AR333">
        <v>14</v>
      </c>
      <c r="AU333" t="s">
        <v>155</v>
      </c>
      <c r="AX333" t="s">
        <v>155</v>
      </c>
      <c r="BA333" t="s">
        <v>155</v>
      </c>
      <c r="BD333">
        <v>3.9</v>
      </c>
      <c r="BG333">
        <v>5.5E-2</v>
      </c>
    </row>
    <row r="334" spans="1:61" x14ac:dyDescent="0.2">
      <c r="A334" t="s">
        <v>910</v>
      </c>
      <c r="B334" t="s">
        <v>911</v>
      </c>
      <c r="C334" t="s">
        <v>912</v>
      </c>
      <c r="D334" t="s">
        <v>353</v>
      </c>
      <c r="E334" s="1" t="s">
        <v>168</v>
      </c>
      <c r="F334" s="1" t="s">
        <v>141</v>
      </c>
      <c r="G334" t="s">
        <v>915</v>
      </c>
      <c r="H334" t="s">
        <v>155</v>
      </c>
      <c r="M334">
        <v>0.63</v>
      </c>
      <c r="N334" t="s">
        <v>155</v>
      </c>
      <c r="S334">
        <v>0.31</v>
      </c>
      <c r="T334" t="s">
        <v>155</v>
      </c>
      <c r="W334">
        <v>100</v>
      </c>
      <c r="Z334" t="s">
        <v>155</v>
      </c>
      <c r="AC334">
        <v>30</v>
      </c>
      <c r="AF334" t="s">
        <v>155</v>
      </c>
      <c r="AI334">
        <v>62</v>
      </c>
      <c r="AL334" t="s">
        <v>155</v>
      </c>
      <c r="AO334" t="s">
        <v>155</v>
      </c>
      <c r="AR334">
        <v>53</v>
      </c>
      <c r="AU334" t="s">
        <v>155</v>
      </c>
      <c r="AX334" t="s">
        <v>155</v>
      </c>
      <c r="BA334" t="s">
        <v>155</v>
      </c>
      <c r="BD334">
        <v>160</v>
      </c>
      <c r="BI334">
        <v>2.5000000000000001E-2</v>
      </c>
    </row>
    <row r="335" spans="1:61" x14ac:dyDescent="0.2">
      <c r="A335" t="s">
        <v>910</v>
      </c>
      <c r="B335" t="s">
        <v>911</v>
      </c>
      <c r="C335" t="s">
        <v>912</v>
      </c>
      <c r="D335" t="s">
        <v>353</v>
      </c>
      <c r="E335" s="1" t="s">
        <v>168</v>
      </c>
      <c r="F335" s="1" t="s">
        <v>141</v>
      </c>
      <c r="G335" t="s">
        <v>916</v>
      </c>
      <c r="H335" t="s">
        <v>155</v>
      </c>
      <c r="M335">
        <v>0.6</v>
      </c>
      <c r="N335" t="s">
        <v>155</v>
      </c>
      <c r="S335">
        <v>0.3</v>
      </c>
      <c r="T335" t="s">
        <v>155</v>
      </c>
      <c r="W335">
        <v>97</v>
      </c>
      <c r="Z335" t="s">
        <v>155</v>
      </c>
      <c r="AC335">
        <v>19</v>
      </c>
      <c r="AF335" t="s">
        <v>155</v>
      </c>
      <c r="AI335">
        <v>17</v>
      </c>
      <c r="AL335" t="s">
        <v>155</v>
      </c>
      <c r="AO335" t="s">
        <v>155</v>
      </c>
      <c r="AR335">
        <v>56</v>
      </c>
      <c r="AU335" t="s">
        <v>155</v>
      </c>
      <c r="AX335" t="s">
        <v>155</v>
      </c>
      <c r="BA335" t="s">
        <v>155</v>
      </c>
      <c r="BD335">
        <v>92</v>
      </c>
      <c r="BI335">
        <v>2.4E-2</v>
      </c>
    </row>
    <row r="336" spans="1:61" x14ac:dyDescent="0.2">
      <c r="A336" t="s">
        <v>910</v>
      </c>
      <c r="B336" t="s">
        <v>911</v>
      </c>
      <c r="C336" t="s">
        <v>912</v>
      </c>
      <c r="D336" t="s">
        <v>353</v>
      </c>
      <c r="E336" s="1" t="s">
        <v>168</v>
      </c>
      <c r="F336" s="1" t="s">
        <v>141</v>
      </c>
      <c r="G336" t="s">
        <v>917</v>
      </c>
      <c r="H336" t="s">
        <v>155</v>
      </c>
      <c r="M336">
        <v>0.54</v>
      </c>
      <c r="N336" t="s">
        <v>155</v>
      </c>
      <c r="S336">
        <v>0.27</v>
      </c>
      <c r="T336" t="s">
        <v>155</v>
      </c>
      <c r="W336">
        <v>2.7</v>
      </c>
      <c r="Z336" t="s">
        <v>155</v>
      </c>
      <c r="AC336">
        <v>2.7</v>
      </c>
      <c r="AF336" t="s">
        <v>155</v>
      </c>
      <c r="AI336">
        <v>2.4</v>
      </c>
      <c r="AL336" t="s">
        <v>155</v>
      </c>
      <c r="AO336" t="s">
        <v>155</v>
      </c>
      <c r="AR336">
        <v>1.8</v>
      </c>
      <c r="AU336" t="s">
        <v>155</v>
      </c>
      <c r="AX336" t="s">
        <v>155</v>
      </c>
      <c r="BA336" t="s">
        <v>155</v>
      </c>
      <c r="BD336">
        <v>10</v>
      </c>
      <c r="BI336">
        <v>2.1999999999999999E-2</v>
      </c>
    </row>
    <row r="337" spans="1:61" x14ac:dyDescent="0.2">
      <c r="A337" t="s">
        <v>918</v>
      </c>
      <c r="B337" t="s">
        <v>919</v>
      </c>
      <c r="C337" t="s">
        <v>655</v>
      </c>
      <c r="D337" t="s">
        <v>343</v>
      </c>
      <c r="E337" s="1" t="s">
        <v>168</v>
      </c>
      <c r="F337" s="1" t="s">
        <v>140</v>
      </c>
      <c r="G337" t="s">
        <v>920</v>
      </c>
      <c r="H337" t="s">
        <v>155</v>
      </c>
      <c r="M337">
        <v>3.9</v>
      </c>
      <c r="N337">
        <v>1.9</v>
      </c>
      <c r="S337">
        <v>9.8000000000000007</v>
      </c>
      <c r="T337" t="s">
        <v>155</v>
      </c>
      <c r="Y337">
        <v>9.8000000000000007</v>
      </c>
      <c r="Z337" t="s">
        <v>155</v>
      </c>
      <c r="AC337" t="s">
        <v>155</v>
      </c>
      <c r="AF337" t="s">
        <v>155</v>
      </c>
      <c r="AK337">
        <v>20</v>
      </c>
      <c r="AL337" t="s">
        <v>155</v>
      </c>
      <c r="AO337" t="s">
        <v>155</v>
      </c>
      <c r="AT337">
        <v>9.8000000000000007</v>
      </c>
      <c r="AU337" t="s">
        <v>155</v>
      </c>
      <c r="AX337" t="s">
        <v>155</v>
      </c>
      <c r="BA337" t="s">
        <v>155</v>
      </c>
      <c r="BD337" t="s">
        <v>155</v>
      </c>
      <c r="BI337">
        <v>0.1</v>
      </c>
    </row>
    <row r="338" spans="1:61" x14ac:dyDescent="0.2">
      <c r="A338" t="s">
        <v>918</v>
      </c>
      <c r="B338" t="s">
        <v>919</v>
      </c>
      <c r="C338" t="s">
        <v>655</v>
      </c>
      <c r="D338" t="s">
        <v>343</v>
      </c>
      <c r="E338" s="1" t="s">
        <v>168</v>
      </c>
      <c r="F338" s="1" t="s">
        <v>140</v>
      </c>
      <c r="G338" t="s">
        <v>921</v>
      </c>
      <c r="H338" t="s">
        <v>155</v>
      </c>
      <c r="M338">
        <v>3.9</v>
      </c>
      <c r="N338">
        <v>3.9</v>
      </c>
      <c r="S338">
        <v>9.8000000000000007</v>
      </c>
      <c r="T338" t="s">
        <v>155</v>
      </c>
      <c r="Y338">
        <v>9.8000000000000007</v>
      </c>
      <c r="Z338" t="s">
        <v>155</v>
      </c>
      <c r="AC338" t="s">
        <v>155</v>
      </c>
      <c r="AF338" t="s">
        <v>155</v>
      </c>
      <c r="AK338">
        <v>20</v>
      </c>
      <c r="AL338" t="s">
        <v>155</v>
      </c>
      <c r="AO338" t="s">
        <v>155</v>
      </c>
      <c r="AT338">
        <v>9.8000000000000007</v>
      </c>
      <c r="AU338" t="s">
        <v>155</v>
      </c>
      <c r="AX338" t="s">
        <v>155</v>
      </c>
      <c r="BA338" t="s">
        <v>155</v>
      </c>
      <c r="BD338" t="s">
        <v>155</v>
      </c>
      <c r="BI338">
        <v>0.1</v>
      </c>
    </row>
    <row r="339" spans="1:61" x14ac:dyDescent="0.2">
      <c r="A339" t="s">
        <v>918</v>
      </c>
      <c r="B339" t="s">
        <v>919</v>
      </c>
      <c r="C339" t="s">
        <v>655</v>
      </c>
      <c r="D339" t="s">
        <v>343</v>
      </c>
      <c r="E339" s="1" t="s">
        <v>168</v>
      </c>
      <c r="F339" s="1" t="s">
        <v>153</v>
      </c>
      <c r="G339" t="s">
        <v>922</v>
      </c>
      <c r="H339" t="s">
        <v>155</v>
      </c>
      <c r="M339">
        <v>3.9</v>
      </c>
      <c r="P339">
        <v>1.9</v>
      </c>
      <c r="S339">
        <v>9.8000000000000007</v>
      </c>
      <c r="T339" t="s">
        <v>155</v>
      </c>
      <c r="Y339">
        <v>9.8000000000000007</v>
      </c>
      <c r="Z339" t="s">
        <v>155</v>
      </c>
      <c r="AC339" t="s">
        <v>155</v>
      </c>
      <c r="AF339" t="s">
        <v>155</v>
      </c>
      <c r="AK339">
        <v>20</v>
      </c>
      <c r="AL339" t="s">
        <v>155</v>
      </c>
      <c r="AO339" t="s">
        <v>155</v>
      </c>
      <c r="AT339">
        <v>9.8000000000000007</v>
      </c>
      <c r="AU339" t="s">
        <v>155</v>
      </c>
      <c r="AX339" t="s">
        <v>155</v>
      </c>
      <c r="BA339" t="s">
        <v>155</v>
      </c>
      <c r="BD339" t="s">
        <v>155</v>
      </c>
      <c r="BI339">
        <v>0.1</v>
      </c>
    </row>
    <row r="340" spans="1:61" x14ac:dyDescent="0.2">
      <c r="A340" t="s">
        <v>923</v>
      </c>
      <c r="B340" t="s">
        <v>924</v>
      </c>
      <c r="C340" t="s">
        <v>473</v>
      </c>
      <c r="D340" t="s">
        <v>474</v>
      </c>
      <c r="E340" s="1" t="s">
        <v>8</v>
      </c>
      <c r="F340" s="1" t="s">
        <v>140</v>
      </c>
      <c r="G340" t="s">
        <v>925</v>
      </c>
      <c r="H340">
        <v>22900</v>
      </c>
      <c r="L340" s="16">
        <f>(3*1.74)</f>
        <v>5.22</v>
      </c>
      <c r="N340">
        <v>72.900000000000006</v>
      </c>
      <c r="Q340" t="s">
        <v>155</v>
      </c>
      <c r="T340">
        <v>1720</v>
      </c>
      <c r="X340" s="16">
        <f>(55.5*1.29)</f>
        <v>71.594999999999999</v>
      </c>
      <c r="Z340">
        <v>11.8</v>
      </c>
      <c r="AC340">
        <v>22.4</v>
      </c>
      <c r="AF340">
        <v>35100</v>
      </c>
      <c r="AI340">
        <v>71</v>
      </c>
      <c r="AL340">
        <v>2930</v>
      </c>
      <c r="AO340">
        <v>295</v>
      </c>
      <c r="AR340">
        <v>23</v>
      </c>
      <c r="AU340">
        <v>2430</v>
      </c>
      <c r="AX340" t="s">
        <v>155</v>
      </c>
      <c r="BA340">
        <v>94.6</v>
      </c>
      <c r="BE340" s="16">
        <f>(118*1.5)</f>
        <v>177</v>
      </c>
      <c r="BG340" t="s">
        <v>155</v>
      </c>
    </row>
    <row r="341" spans="1:61" x14ac:dyDescent="0.2">
      <c r="A341" t="s">
        <v>923</v>
      </c>
      <c r="B341" t="s">
        <v>924</v>
      </c>
      <c r="C341" t="s">
        <v>473</v>
      </c>
      <c r="D341" t="s">
        <v>474</v>
      </c>
      <c r="E341" s="1" t="s">
        <v>8</v>
      </c>
      <c r="F341" s="1" t="s">
        <v>153</v>
      </c>
      <c r="G341" t="s">
        <v>926</v>
      </c>
      <c r="H341">
        <v>16300</v>
      </c>
      <c r="L341" s="16">
        <f>(3.8*1.74)</f>
        <v>6.6120000000000001</v>
      </c>
      <c r="N341">
        <v>64.099999999999994</v>
      </c>
      <c r="Q341" t="s">
        <v>155</v>
      </c>
      <c r="T341">
        <v>495</v>
      </c>
      <c r="X341" s="16">
        <f>(27.8*1.29)</f>
        <v>35.862000000000002</v>
      </c>
      <c r="Z341">
        <v>7</v>
      </c>
      <c r="AC341">
        <v>12.8</v>
      </c>
      <c r="AF341">
        <v>25900</v>
      </c>
      <c r="AI341">
        <v>19.600000000000001</v>
      </c>
      <c r="AL341">
        <v>2030</v>
      </c>
      <c r="AO341">
        <v>209</v>
      </c>
      <c r="AR341">
        <v>13.4</v>
      </c>
      <c r="AU341">
        <v>1980</v>
      </c>
      <c r="AX341" t="s">
        <v>155</v>
      </c>
      <c r="BA341">
        <v>66.599999999999994</v>
      </c>
      <c r="BE341" s="16">
        <f>(71.5*1.5)</f>
        <v>107.25</v>
      </c>
      <c r="BG341" t="s">
        <v>155</v>
      </c>
    </row>
    <row r="342" spans="1:61" x14ac:dyDescent="0.2">
      <c r="A342" t="s">
        <v>927</v>
      </c>
      <c r="B342" t="s">
        <v>928</v>
      </c>
      <c r="C342" t="s">
        <v>337</v>
      </c>
      <c r="D342" t="s">
        <v>338</v>
      </c>
      <c r="E342" s="1" t="s">
        <v>8</v>
      </c>
      <c r="F342" s="1" t="s">
        <v>140</v>
      </c>
      <c r="G342" t="s">
        <v>929</v>
      </c>
      <c r="H342" t="s">
        <v>155</v>
      </c>
      <c r="M342">
        <v>2</v>
      </c>
      <c r="N342">
        <v>8</v>
      </c>
      <c r="S342">
        <v>16</v>
      </c>
      <c r="T342" t="s">
        <v>155</v>
      </c>
      <c r="Y342">
        <v>39</v>
      </c>
      <c r="Z342" t="s">
        <v>155</v>
      </c>
      <c r="AC342" t="s">
        <v>155</v>
      </c>
      <c r="AF342" t="s">
        <v>155</v>
      </c>
      <c r="AK342">
        <v>20</v>
      </c>
      <c r="AL342" t="s">
        <v>155</v>
      </c>
      <c r="AO342" t="s">
        <v>155</v>
      </c>
      <c r="AR342" t="s">
        <v>155</v>
      </c>
      <c r="AU342" t="s">
        <v>155</v>
      </c>
      <c r="AX342" t="s">
        <v>155</v>
      </c>
      <c r="BA342" t="s">
        <v>155</v>
      </c>
      <c r="BD342" t="s">
        <v>155</v>
      </c>
      <c r="BI342">
        <v>0.1</v>
      </c>
    </row>
    <row r="343" spans="1:61" x14ac:dyDescent="0.2">
      <c r="A343" t="s">
        <v>930</v>
      </c>
      <c r="B343" t="s">
        <v>931</v>
      </c>
      <c r="C343" t="s">
        <v>932</v>
      </c>
      <c r="D343" t="s">
        <v>416</v>
      </c>
      <c r="F343" s="1" t="s">
        <v>140</v>
      </c>
      <c r="G343" t="s">
        <v>933</v>
      </c>
      <c r="H343" t="s">
        <v>155</v>
      </c>
      <c r="M343">
        <v>5</v>
      </c>
      <c r="N343">
        <v>11</v>
      </c>
      <c r="S343">
        <v>4</v>
      </c>
      <c r="T343" t="s">
        <v>155</v>
      </c>
      <c r="Y343">
        <v>10</v>
      </c>
      <c r="Z343" t="s">
        <v>155</v>
      </c>
      <c r="AC343" t="s">
        <v>155</v>
      </c>
      <c r="AF343" t="s">
        <v>155</v>
      </c>
      <c r="AI343">
        <v>4</v>
      </c>
      <c r="AL343" t="s">
        <v>155</v>
      </c>
      <c r="AO343" t="s">
        <v>155</v>
      </c>
      <c r="AR343" t="s">
        <v>155</v>
      </c>
      <c r="AU343" t="s">
        <v>155</v>
      </c>
      <c r="AX343" t="s">
        <v>155</v>
      </c>
      <c r="BA343" t="s">
        <v>155</v>
      </c>
      <c r="BD343" t="s">
        <v>155</v>
      </c>
      <c r="BI343">
        <v>0.1</v>
      </c>
    </row>
    <row r="344" spans="1:61" x14ac:dyDescent="0.2">
      <c r="A344" t="s">
        <v>934</v>
      </c>
      <c r="B344" t="s">
        <v>935</v>
      </c>
      <c r="C344" t="s">
        <v>936</v>
      </c>
      <c r="D344" t="s">
        <v>129</v>
      </c>
      <c r="E344" s="1" t="s">
        <v>168</v>
      </c>
      <c r="F344" s="1" t="s">
        <v>140</v>
      </c>
      <c r="G344" t="s">
        <v>937</v>
      </c>
      <c r="H344">
        <v>22000</v>
      </c>
      <c r="K344" t="s">
        <v>155</v>
      </c>
      <c r="N344">
        <v>51</v>
      </c>
      <c r="Q344">
        <v>1.3</v>
      </c>
      <c r="T344">
        <v>87</v>
      </c>
      <c r="W344">
        <v>110</v>
      </c>
      <c r="Z344">
        <v>9.5</v>
      </c>
      <c r="AC344">
        <v>42</v>
      </c>
      <c r="AF344">
        <v>53000</v>
      </c>
      <c r="AI344">
        <v>20</v>
      </c>
      <c r="AL344">
        <v>960</v>
      </c>
      <c r="AP344" s="16">
        <f>(230*1.24)</f>
        <v>285.2</v>
      </c>
      <c r="AR344">
        <v>12</v>
      </c>
      <c r="AU344">
        <v>1100</v>
      </c>
      <c r="AZ344">
        <v>210</v>
      </c>
      <c r="BA344">
        <v>87</v>
      </c>
      <c r="BD344">
        <v>38</v>
      </c>
      <c r="BI344">
        <v>0.08</v>
      </c>
    </row>
    <row r="345" spans="1:61" x14ac:dyDescent="0.2">
      <c r="A345" t="s">
        <v>934</v>
      </c>
      <c r="B345" t="s">
        <v>938</v>
      </c>
      <c r="C345" t="s">
        <v>235</v>
      </c>
      <c r="D345" t="s">
        <v>129</v>
      </c>
      <c r="E345" s="1" t="s">
        <v>168</v>
      </c>
      <c r="F345" s="1" t="s">
        <v>141</v>
      </c>
      <c r="G345" t="s">
        <v>939</v>
      </c>
      <c r="H345">
        <v>23000</v>
      </c>
      <c r="K345" t="s">
        <v>155</v>
      </c>
      <c r="N345">
        <v>160</v>
      </c>
      <c r="S345">
        <v>1</v>
      </c>
      <c r="V345">
        <v>60</v>
      </c>
      <c r="W345">
        <v>41</v>
      </c>
      <c r="Z345">
        <v>24</v>
      </c>
      <c r="AC345">
        <v>45</v>
      </c>
      <c r="AF345">
        <v>42000</v>
      </c>
      <c r="AI345">
        <v>21</v>
      </c>
      <c r="AL345">
        <v>5700</v>
      </c>
      <c r="AP345" s="16">
        <f>(620*1.24)</f>
        <v>768.8</v>
      </c>
      <c r="AR345">
        <v>32</v>
      </c>
      <c r="AU345">
        <v>7600</v>
      </c>
      <c r="AZ345">
        <v>220</v>
      </c>
      <c r="BA345">
        <v>75</v>
      </c>
      <c r="BD345">
        <v>73</v>
      </c>
      <c r="BI345">
        <v>0.11</v>
      </c>
    </row>
    <row r="346" spans="1:61" x14ac:dyDescent="0.2">
      <c r="A346" t="s">
        <v>934</v>
      </c>
      <c r="B346" t="s">
        <v>938</v>
      </c>
      <c r="C346" t="s">
        <v>235</v>
      </c>
      <c r="D346" t="s">
        <v>129</v>
      </c>
      <c r="E346" s="1" t="s">
        <v>168</v>
      </c>
      <c r="F346" s="1" t="s">
        <v>153</v>
      </c>
      <c r="G346" t="s">
        <v>940</v>
      </c>
      <c r="H346">
        <v>3500</v>
      </c>
      <c r="K346" t="s">
        <v>155</v>
      </c>
      <c r="N346">
        <v>29</v>
      </c>
      <c r="S346">
        <v>1</v>
      </c>
      <c r="T346">
        <v>1200</v>
      </c>
      <c r="W346">
        <v>20</v>
      </c>
      <c r="Z346">
        <v>4.3</v>
      </c>
      <c r="AE346">
        <v>4</v>
      </c>
      <c r="AF346">
        <v>7500</v>
      </c>
      <c r="AI346">
        <v>1.9</v>
      </c>
      <c r="AL346">
        <v>970</v>
      </c>
      <c r="AP346" s="16">
        <f>(160*1.24)</f>
        <v>198.4</v>
      </c>
      <c r="AR346">
        <v>4</v>
      </c>
      <c r="AW346">
        <v>660</v>
      </c>
      <c r="AX346">
        <v>160</v>
      </c>
      <c r="BA346">
        <v>21</v>
      </c>
      <c r="BF346">
        <v>10</v>
      </c>
      <c r="BI346">
        <v>0.12</v>
      </c>
    </row>
    <row r="347" spans="1:61" x14ac:dyDescent="0.2">
      <c r="A347" t="s">
        <v>941</v>
      </c>
      <c r="B347" t="s">
        <v>942</v>
      </c>
      <c r="C347" t="s">
        <v>579</v>
      </c>
      <c r="D347" t="s">
        <v>379</v>
      </c>
      <c r="E347" s="1" t="s">
        <v>168</v>
      </c>
      <c r="F347" s="1" t="s">
        <v>153</v>
      </c>
      <c r="G347" t="s">
        <v>943</v>
      </c>
      <c r="H347" t="s">
        <v>155</v>
      </c>
      <c r="M347">
        <v>1.9</v>
      </c>
      <c r="N347">
        <v>23</v>
      </c>
      <c r="S347">
        <v>9.8000000000000007</v>
      </c>
      <c r="T347" t="s">
        <v>155</v>
      </c>
      <c r="Y347">
        <v>9.8000000000000007</v>
      </c>
      <c r="Z347" t="s">
        <v>155</v>
      </c>
      <c r="AC347" t="s">
        <v>155</v>
      </c>
      <c r="AF347" t="s">
        <v>155</v>
      </c>
      <c r="AK347">
        <v>2</v>
      </c>
      <c r="AL347" t="s">
        <v>155</v>
      </c>
      <c r="AO347" t="s">
        <v>155</v>
      </c>
      <c r="AR347" t="s">
        <v>155</v>
      </c>
      <c r="AU347" t="s">
        <v>155</v>
      </c>
      <c r="AX347" t="s">
        <v>155</v>
      </c>
      <c r="BA347" t="s">
        <v>155</v>
      </c>
      <c r="BD347" t="s">
        <v>155</v>
      </c>
      <c r="BI347">
        <v>0.01</v>
      </c>
    </row>
    <row r="348" spans="1:61" x14ac:dyDescent="0.2">
      <c r="A348" t="s">
        <v>941</v>
      </c>
      <c r="B348" t="s">
        <v>942</v>
      </c>
      <c r="C348" t="s">
        <v>579</v>
      </c>
      <c r="D348" t="s">
        <v>379</v>
      </c>
      <c r="E348" s="1" t="s">
        <v>168</v>
      </c>
      <c r="F348" s="1" t="s">
        <v>140</v>
      </c>
      <c r="G348" t="s">
        <v>944</v>
      </c>
      <c r="H348" t="s">
        <v>155</v>
      </c>
      <c r="M348">
        <v>5</v>
      </c>
      <c r="N348">
        <v>79</v>
      </c>
      <c r="S348">
        <v>2.5</v>
      </c>
      <c r="T348" t="s">
        <v>155</v>
      </c>
      <c r="W348">
        <v>10</v>
      </c>
      <c r="Z348" t="s">
        <v>155</v>
      </c>
      <c r="AC348" t="s">
        <v>155</v>
      </c>
      <c r="AF348" t="s">
        <v>155</v>
      </c>
      <c r="AI348">
        <v>10</v>
      </c>
      <c r="AL348" t="s">
        <v>155</v>
      </c>
      <c r="AO348" t="s">
        <v>155</v>
      </c>
      <c r="AR348" t="s">
        <v>155</v>
      </c>
      <c r="AU348" t="s">
        <v>155</v>
      </c>
      <c r="AX348" t="s">
        <v>155</v>
      </c>
      <c r="BA348" t="s">
        <v>155</v>
      </c>
      <c r="BD348" t="s">
        <v>155</v>
      </c>
      <c r="BI348">
        <v>0.1</v>
      </c>
    </row>
    <row r="349" spans="1:61" x14ac:dyDescent="0.2">
      <c r="A349" t="s">
        <v>945</v>
      </c>
      <c r="B349" t="s">
        <v>946</v>
      </c>
      <c r="C349" t="s">
        <v>947</v>
      </c>
      <c r="D349" t="s">
        <v>948</v>
      </c>
      <c r="F349" s="1" t="s">
        <v>140</v>
      </c>
      <c r="G349" t="s">
        <v>949</v>
      </c>
      <c r="H349" t="s">
        <v>155</v>
      </c>
      <c r="M349">
        <v>4</v>
      </c>
      <c r="N349">
        <v>26</v>
      </c>
      <c r="S349">
        <v>4</v>
      </c>
      <c r="T349" t="s">
        <v>155</v>
      </c>
      <c r="W349">
        <v>6</v>
      </c>
      <c r="Z349" t="s">
        <v>155</v>
      </c>
      <c r="AE349">
        <v>10</v>
      </c>
      <c r="AF349">
        <v>2706</v>
      </c>
      <c r="AI349">
        <v>34</v>
      </c>
      <c r="AL349" t="s">
        <v>155</v>
      </c>
      <c r="AO349" t="s">
        <v>155</v>
      </c>
      <c r="AR349" t="s">
        <v>155</v>
      </c>
      <c r="AU349" t="s">
        <v>155</v>
      </c>
      <c r="AX349" t="s">
        <v>155</v>
      </c>
      <c r="BA349" t="s">
        <v>155</v>
      </c>
      <c r="BD349">
        <v>24</v>
      </c>
      <c r="BI349">
        <v>0.1</v>
      </c>
    </row>
    <row r="350" spans="1:61" x14ac:dyDescent="0.2">
      <c r="A350" s="10" t="s">
        <v>950</v>
      </c>
      <c r="B350" s="10" t="s">
        <v>951</v>
      </c>
      <c r="C350" s="10" t="s">
        <v>584</v>
      </c>
      <c r="D350" s="10" t="s">
        <v>532</v>
      </c>
      <c r="E350" s="11" t="s">
        <v>8</v>
      </c>
      <c r="F350" s="11" t="s">
        <v>140</v>
      </c>
      <c r="G350" s="10" t="s">
        <v>952</v>
      </c>
      <c r="H350">
        <v>22000</v>
      </c>
      <c r="M350">
        <v>1</v>
      </c>
      <c r="O350">
        <f>(500*3.99)</f>
        <v>1995</v>
      </c>
      <c r="R350">
        <f>(3.9*1.41)</f>
        <v>5.4989999999999997</v>
      </c>
      <c r="T350">
        <v>5200</v>
      </c>
      <c r="X350">
        <f>(37*1.29)</f>
        <v>47.730000000000004</v>
      </c>
      <c r="AA350" s="16">
        <f>(86*1.25)</f>
        <v>107.5</v>
      </c>
      <c r="AD350" s="16">
        <f>(87*1.22)</f>
        <v>106.14</v>
      </c>
      <c r="AF350">
        <v>38000</v>
      </c>
      <c r="AJ350" s="16">
        <f>(2.7*1.44)</f>
        <v>3.8879999999999999</v>
      </c>
      <c r="AL350">
        <v>18000</v>
      </c>
      <c r="AP350" s="16">
        <f>(710*1.24)</f>
        <v>880.4</v>
      </c>
      <c r="AR350">
        <v>32</v>
      </c>
      <c r="AU350">
        <v>540</v>
      </c>
      <c r="AX350">
        <v>940</v>
      </c>
      <c r="BA350">
        <v>130</v>
      </c>
      <c r="BE350" s="16">
        <f>(81*1.5)</f>
        <v>121.5</v>
      </c>
      <c r="BI350">
        <v>0.28999999999999998</v>
      </c>
    </row>
    <row r="351" spans="1:61" x14ac:dyDescent="0.2">
      <c r="A351" t="s">
        <v>953</v>
      </c>
      <c r="B351" t="s">
        <v>954</v>
      </c>
      <c r="C351" t="s">
        <v>955</v>
      </c>
      <c r="D351" t="s">
        <v>956</v>
      </c>
      <c r="E351" s="1" t="s">
        <v>168</v>
      </c>
      <c r="F351" s="1" t="s">
        <v>140</v>
      </c>
      <c r="G351" t="s">
        <v>957</v>
      </c>
      <c r="H351" t="s">
        <v>155</v>
      </c>
      <c r="K351" t="s">
        <v>155</v>
      </c>
      <c r="N351" t="s">
        <v>155</v>
      </c>
      <c r="Q351" t="s">
        <v>155</v>
      </c>
      <c r="T351" t="s">
        <v>155</v>
      </c>
      <c r="W351" t="s">
        <v>155</v>
      </c>
      <c r="Z351" t="s">
        <v>155</v>
      </c>
      <c r="AC351" t="s">
        <v>155</v>
      </c>
      <c r="AF351" t="s">
        <v>155</v>
      </c>
      <c r="AI351" t="s">
        <v>155</v>
      </c>
      <c r="AL351" t="s">
        <v>155</v>
      </c>
      <c r="AO351" t="s">
        <v>155</v>
      </c>
      <c r="AR351" t="s">
        <v>155</v>
      </c>
      <c r="AU351" t="s">
        <v>155</v>
      </c>
      <c r="AX351" t="s">
        <v>155</v>
      </c>
      <c r="BA351" t="s">
        <v>155</v>
      </c>
      <c r="BD351">
        <v>8.27</v>
      </c>
      <c r="BG351" t="s">
        <v>155</v>
      </c>
    </row>
    <row r="352" spans="1:61" x14ac:dyDescent="0.2">
      <c r="A352" t="s">
        <v>953</v>
      </c>
      <c r="B352" t="s">
        <v>954</v>
      </c>
      <c r="C352" t="s">
        <v>955</v>
      </c>
      <c r="D352" t="s">
        <v>956</v>
      </c>
      <c r="E352" s="1" t="s">
        <v>168</v>
      </c>
      <c r="F352" s="1" t="s">
        <v>140</v>
      </c>
      <c r="G352" t="s">
        <v>958</v>
      </c>
      <c r="H352" t="s">
        <v>155</v>
      </c>
      <c r="K352" t="s">
        <v>155</v>
      </c>
      <c r="N352" t="s">
        <v>155</v>
      </c>
      <c r="Q352" t="s">
        <v>155</v>
      </c>
      <c r="T352" t="s">
        <v>155</v>
      </c>
      <c r="W352">
        <v>2.0299999999999998</v>
      </c>
      <c r="Z352" t="s">
        <v>155</v>
      </c>
      <c r="AC352" t="s">
        <v>155</v>
      </c>
      <c r="AF352" t="s">
        <v>155</v>
      </c>
      <c r="AI352">
        <v>6.16</v>
      </c>
      <c r="AL352" t="s">
        <v>155</v>
      </c>
      <c r="AO352" t="s">
        <v>155</v>
      </c>
      <c r="AR352" t="s">
        <v>155</v>
      </c>
      <c r="AU352" t="s">
        <v>155</v>
      </c>
      <c r="AX352" t="s">
        <v>155</v>
      </c>
      <c r="BA352" t="s">
        <v>155</v>
      </c>
      <c r="BD352">
        <v>11.3</v>
      </c>
      <c r="BG352" t="s">
        <v>155</v>
      </c>
    </row>
    <row r="353" spans="1:61" x14ac:dyDescent="0.2">
      <c r="A353" t="s">
        <v>953</v>
      </c>
      <c r="B353" t="s">
        <v>954</v>
      </c>
      <c r="C353" t="s">
        <v>955</v>
      </c>
      <c r="D353" t="s">
        <v>956</v>
      </c>
      <c r="E353" s="1" t="s">
        <v>168</v>
      </c>
      <c r="F353" s="1" t="s">
        <v>140</v>
      </c>
      <c r="G353" t="s">
        <v>959</v>
      </c>
      <c r="H353" t="s">
        <v>155</v>
      </c>
      <c r="K353" t="s">
        <v>155</v>
      </c>
      <c r="N353" t="s">
        <v>155</v>
      </c>
      <c r="Q353" t="s">
        <v>155</v>
      </c>
      <c r="T353" t="s">
        <v>155</v>
      </c>
      <c r="W353" t="s">
        <v>155</v>
      </c>
      <c r="Z353" t="s">
        <v>155</v>
      </c>
      <c r="AC353" t="s">
        <v>155</v>
      </c>
      <c r="AF353" t="s">
        <v>155</v>
      </c>
      <c r="AI353">
        <v>7.9</v>
      </c>
      <c r="AL353" t="s">
        <v>155</v>
      </c>
      <c r="AO353" t="s">
        <v>155</v>
      </c>
      <c r="AR353" t="s">
        <v>155</v>
      </c>
      <c r="AU353" t="s">
        <v>155</v>
      </c>
      <c r="AX353" t="s">
        <v>155</v>
      </c>
      <c r="BA353" t="s">
        <v>155</v>
      </c>
      <c r="BD353" t="s">
        <v>155</v>
      </c>
      <c r="BG353" t="s">
        <v>155</v>
      </c>
    </row>
    <row r="354" spans="1:61" x14ac:dyDescent="0.2">
      <c r="A354" t="s">
        <v>953</v>
      </c>
      <c r="B354" t="s">
        <v>954</v>
      </c>
      <c r="C354" t="s">
        <v>955</v>
      </c>
      <c r="D354" t="s">
        <v>956</v>
      </c>
      <c r="E354" s="1" t="s">
        <v>168</v>
      </c>
      <c r="F354" s="1" t="s">
        <v>140</v>
      </c>
      <c r="G354" t="s">
        <v>960</v>
      </c>
      <c r="H354" t="s">
        <v>155</v>
      </c>
      <c r="K354" t="s">
        <v>155</v>
      </c>
      <c r="N354" t="s">
        <v>155</v>
      </c>
      <c r="Q354" t="s">
        <v>155</v>
      </c>
      <c r="T354" t="s">
        <v>155</v>
      </c>
      <c r="W354">
        <v>1.0900000000000001</v>
      </c>
      <c r="Z354" t="s">
        <v>155</v>
      </c>
      <c r="AC354" t="s">
        <v>155</v>
      </c>
      <c r="AF354" t="s">
        <v>155</v>
      </c>
      <c r="AI354" t="s">
        <v>155</v>
      </c>
      <c r="AL354" t="s">
        <v>155</v>
      </c>
      <c r="AO354" t="s">
        <v>155</v>
      </c>
      <c r="AR354" t="s">
        <v>155</v>
      </c>
      <c r="AU354" t="s">
        <v>155</v>
      </c>
      <c r="AX354" t="s">
        <v>155</v>
      </c>
      <c r="BA354" t="s">
        <v>155</v>
      </c>
      <c r="BD354">
        <v>6.33</v>
      </c>
      <c r="BG354" t="s">
        <v>155</v>
      </c>
    </row>
    <row r="355" spans="1:61" x14ac:dyDescent="0.2">
      <c r="A355" t="s">
        <v>953</v>
      </c>
      <c r="B355" t="s">
        <v>954</v>
      </c>
      <c r="C355" t="s">
        <v>955</v>
      </c>
      <c r="D355" t="s">
        <v>956</v>
      </c>
      <c r="E355" s="1" t="s">
        <v>168</v>
      </c>
      <c r="F355" s="1" t="s">
        <v>140</v>
      </c>
      <c r="G355" t="s">
        <v>961</v>
      </c>
      <c r="H355" t="s">
        <v>155</v>
      </c>
      <c r="K355" t="s">
        <v>155</v>
      </c>
      <c r="N355" t="s">
        <v>155</v>
      </c>
      <c r="Q355" t="s">
        <v>155</v>
      </c>
      <c r="T355" t="s">
        <v>155</v>
      </c>
      <c r="W355">
        <v>1.32</v>
      </c>
      <c r="Z355" t="s">
        <v>155</v>
      </c>
      <c r="AC355" t="s">
        <v>155</v>
      </c>
      <c r="AF355" t="s">
        <v>155</v>
      </c>
      <c r="AI355">
        <v>5.6</v>
      </c>
      <c r="AL355" t="s">
        <v>155</v>
      </c>
      <c r="AO355" t="s">
        <v>155</v>
      </c>
      <c r="AR355" t="s">
        <v>155</v>
      </c>
      <c r="AU355" t="s">
        <v>155</v>
      </c>
      <c r="AX355" t="s">
        <v>155</v>
      </c>
      <c r="BA355" t="s">
        <v>155</v>
      </c>
      <c r="BD355">
        <v>12.3</v>
      </c>
      <c r="BG355" t="s">
        <v>155</v>
      </c>
    </row>
    <row r="356" spans="1:61" ht="16" x14ac:dyDescent="0.2">
      <c r="A356" s="15" t="s">
        <v>962</v>
      </c>
      <c r="B356" t="s">
        <v>963</v>
      </c>
      <c r="C356" t="s">
        <v>964</v>
      </c>
      <c r="D356" t="s">
        <v>965</v>
      </c>
      <c r="F356" s="1" t="s">
        <v>153</v>
      </c>
      <c r="G356" t="s">
        <v>966</v>
      </c>
      <c r="H356" t="s">
        <v>155</v>
      </c>
      <c r="K356">
        <v>1.9</v>
      </c>
      <c r="N356">
        <v>73</v>
      </c>
      <c r="S356">
        <v>10</v>
      </c>
      <c r="T356" t="s">
        <v>155</v>
      </c>
      <c r="Y356">
        <v>10</v>
      </c>
      <c r="Z356" t="s">
        <v>155</v>
      </c>
      <c r="AE356">
        <v>10</v>
      </c>
      <c r="AF356" t="s">
        <v>155</v>
      </c>
      <c r="AK356">
        <v>20</v>
      </c>
      <c r="AL356" t="s">
        <v>155</v>
      </c>
      <c r="AO356" t="s">
        <v>155</v>
      </c>
      <c r="AR356" t="s">
        <v>155</v>
      </c>
      <c r="AU356" t="s">
        <v>155</v>
      </c>
      <c r="AX356" t="s">
        <v>155</v>
      </c>
      <c r="BA356" t="s">
        <v>155</v>
      </c>
      <c r="BD356">
        <v>18</v>
      </c>
      <c r="BI356">
        <v>0.09</v>
      </c>
    </row>
    <row r="357" spans="1:61" ht="16" x14ac:dyDescent="0.2">
      <c r="A357" s="15" t="s">
        <v>962</v>
      </c>
      <c r="B357" t="s">
        <v>963</v>
      </c>
      <c r="C357" t="s">
        <v>964</v>
      </c>
      <c r="D357" t="s">
        <v>965</v>
      </c>
      <c r="F357" s="1" t="s">
        <v>140</v>
      </c>
      <c r="G357" t="s">
        <v>967</v>
      </c>
      <c r="H357" t="s">
        <v>155</v>
      </c>
      <c r="K357">
        <v>2.8</v>
      </c>
      <c r="N357">
        <v>109</v>
      </c>
      <c r="Q357">
        <v>0.89</v>
      </c>
      <c r="T357" t="s">
        <v>155</v>
      </c>
      <c r="W357">
        <v>44.8</v>
      </c>
      <c r="Z357" t="s">
        <v>155</v>
      </c>
      <c r="AC357" t="s">
        <v>155</v>
      </c>
      <c r="AF357">
        <v>20800</v>
      </c>
      <c r="AI357">
        <v>15.5</v>
      </c>
      <c r="AL357">
        <v>14.3</v>
      </c>
      <c r="AO357">
        <v>564</v>
      </c>
      <c r="AR357">
        <v>17.5</v>
      </c>
      <c r="AU357">
        <v>1310</v>
      </c>
      <c r="AX357">
        <v>16.3</v>
      </c>
      <c r="BA357">
        <v>39.1</v>
      </c>
      <c r="BD357">
        <v>124</v>
      </c>
      <c r="BI357" t="s">
        <v>155</v>
      </c>
    </row>
    <row r="358" spans="1:61" ht="16" x14ac:dyDescent="0.2">
      <c r="A358" s="18" t="s">
        <v>968</v>
      </c>
      <c r="B358" s="10" t="s">
        <v>969</v>
      </c>
      <c r="C358" s="10" t="s">
        <v>342</v>
      </c>
      <c r="D358" s="10" t="s">
        <v>343</v>
      </c>
      <c r="E358" s="11" t="s">
        <v>168</v>
      </c>
      <c r="F358" s="11" t="s">
        <v>140</v>
      </c>
      <c r="G358" s="10" t="s">
        <v>970</v>
      </c>
      <c r="H358">
        <v>790</v>
      </c>
      <c r="M358">
        <v>0.4</v>
      </c>
      <c r="P358">
        <v>5</v>
      </c>
      <c r="S358">
        <v>0.41</v>
      </c>
      <c r="V358">
        <v>60</v>
      </c>
      <c r="Y358">
        <v>0.82</v>
      </c>
      <c r="AB358">
        <v>0.61</v>
      </c>
      <c r="AE358">
        <v>0.61</v>
      </c>
      <c r="AF358">
        <v>510</v>
      </c>
      <c r="AI358">
        <v>1</v>
      </c>
      <c r="AN358">
        <v>5.0999999999999996</v>
      </c>
      <c r="AO358">
        <v>1.7</v>
      </c>
      <c r="AT358">
        <v>1</v>
      </c>
      <c r="AW358">
        <v>20</v>
      </c>
      <c r="AZ358">
        <v>11</v>
      </c>
      <c r="BC358">
        <v>2</v>
      </c>
      <c r="BF358">
        <v>1</v>
      </c>
      <c r="BI358">
        <v>0.1</v>
      </c>
    </row>
    <row r="359" spans="1:61" ht="16" x14ac:dyDescent="0.2">
      <c r="A359" s="19" t="s">
        <v>968</v>
      </c>
      <c r="B359" s="10" t="s">
        <v>969</v>
      </c>
      <c r="C359" s="10" t="s">
        <v>342</v>
      </c>
      <c r="D359" s="10" t="s">
        <v>343</v>
      </c>
      <c r="E359" s="11" t="s">
        <v>168</v>
      </c>
      <c r="F359" s="11" t="s">
        <v>141</v>
      </c>
      <c r="G359" s="10" t="s">
        <v>971</v>
      </c>
      <c r="H359">
        <v>6500</v>
      </c>
      <c r="K359">
        <v>2.2000000000000002</v>
      </c>
      <c r="P359">
        <v>9</v>
      </c>
      <c r="S359">
        <v>0.45</v>
      </c>
      <c r="V359">
        <v>140</v>
      </c>
      <c r="W359">
        <v>9.9</v>
      </c>
      <c r="Z359">
        <v>0.67</v>
      </c>
      <c r="AC359">
        <v>0.67</v>
      </c>
      <c r="AF359">
        <v>4000</v>
      </c>
      <c r="AI359">
        <v>3.9</v>
      </c>
      <c r="AL359">
        <v>130</v>
      </c>
      <c r="AQ359">
        <v>4</v>
      </c>
      <c r="AT359">
        <v>1.1000000000000001</v>
      </c>
      <c r="AU359">
        <v>230</v>
      </c>
      <c r="AZ359">
        <v>20</v>
      </c>
      <c r="BA359">
        <v>16</v>
      </c>
      <c r="BF359">
        <v>4</v>
      </c>
      <c r="BI359">
        <v>0.1</v>
      </c>
    </row>
    <row r="360" spans="1:61" ht="16" x14ac:dyDescent="0.2">
      <c r="A360" s="19" t="s">
        <v>968</v>
      </c>
      <c r="B360" s="10" t="s">
        <v>969</v>
      </c>
      <c r="C360" s="10" t="s">
        <v>342</v>
      </c>
      <c r="D360" s="10" t="s">
        <v>343</v>
      </c>
      <c r="E360" s="11" t="s">
        <v>168</v>
      </c>
      <c r="F360" s="11" t="s">
        <v>153</v>
      </c>
      <c r="G360" s="10" t="s">
        <v>972</v>
      </c>
      <c r="H360">
        <v>23000</v>
      </c>
      <c r="M360">
        <v>6</v>
      </c>
      <c r="P360">
        <v>120</v>
      </c>
      <c r="S360">
        <v>1.3</v>
      </c>
      <c r="T360">
        <v>1500</v>
      </c>
      <c r="W360">
        <v>28</v>
      </c>
      <c r="AB360">
        <v>20</v>
      </c>
      <c r="AC360">
        <v>30</v>
      </c>
      <c r="AF360">
        <v>20000</v>
      </c>
      <c r="AI360">
        <v>25</v>
      </c>
      <c r="AL360">
        <v>2700</v>
      </c>
      <c r="AO360">
        <v>300</v>
      </c>
      <c r="AR360">
        <v>9.6999999999999993</v>
      </c>
      <c r="AU360">
        <v>900</v>
      </c>
      <c r="AX360">
        <v>1100</v>
      </c>
      <c r="BA360">
        <v>78</v>
      </c>
      <c r="BD360">
        <v>98</v>
      </c>
      <c r="BI360">
        <v>0.33</v>
      </c>
    </row>
    <row r="361" spans="1:61" ht="16" x14ac:dyDescent="0.2">
      <c r="A361" s="19" t="s">
        <v>968</v>
      </c>
      <c r="B361" s="10" t="s">
        <v>969</v>
      </c>
      <c r="C361" s="10" t="s">
        <v>342</v>
      </c>
      <c r="D361" s="10" t="s">
        <v>343</v>
      </c>
      <c r="E361" s="11" t="s">
        <v>168</v>
      </c>
      <c r="F361" s="11" t="s">
        <v>153</v>
      </c>
      <c r="G361" s="10" t="s">
        <v>973</v>
      </c>
      <c r="H361">
        <v>8400</v>
      </c>
      <c r="M361">
        <v>2.7</v>
      </c>
      <c r="N361">
        <v>66</v>
      </c>
      <c r="Q361">
        <v>2.6</v>
      </c>
      <c r="T361">
        <v>91000</v>
      </c>
      <c r="W361">
        <v>25</v>
      </c>
      <c r="Z361">
        <v>3.7</v>
      </c>
      <c r="AE361">
        <v>20</v>
      </c>
      <c r="AF361">
        <v>7700</v>
      </c>
      <c r="AI361">
        <v>54</v>
      </c>
      <c r="AL361">
        <v>780</v>
      </c>
      <c r="AO361">
        <v>130</v>
      </c>
      <c r="AR361">
        <v>6.7</v>
      </c>
      <c r="AU361">
        <v>720</v>
      </c>
      <c r="AX361">
        <v>1100</v>
      </c>
      <c r="BA361">
        <v>30</v>
      </c>
      <c r="BD361">
        <v>80</v>
      </c>
      <c r="BI361">
        <v>0.13</v>
      </c>
    </row>
    <row r="362" spans="1:61" x14ac:dyDescent="0.2">
      <c r="A362" t="s">
        <v>968</v>
      </c>
      <c r="B362" t="s">
        <v>974</v>
      </c>
      <c r="C362" t="s">
        <v>158</v>
      </c>
      <c r="D362" t="s">
        <v>159</v>
      </c>
      <c r="E362" s="1" t="s">
        <v>8</v>
      </c>
      <c r="F362" s="1" t="s">
        <v>140</v>
      </c>
      <c r="G362" t="s">
        <v>975</v>
      </c>
      <c r="I362" s="16">
        <f>(24100*1.66)</f>
        <v>40006</v>
      </c>
      <c r="M362">
        <v>0.26</v>
      </c>
      <c r="N362">
        <v>64.3</v>
      </c>
      <c r="Q362" t="s">
        <v>155</v>
      </c>
      <c r="T362">
        <v>5800</v>
      </c>
      <c r="W362">
        <v>65.3</v>
      </c>
      <c r="Z362">
        <v>16.600000000000001</v>
      </c>
      <c r="AD362" s="16">
        <f>(57.9*1.22)</f>
        <v>70.637999999999991</v>
      </c>
      <c r="AF362">
        <v>12300</v>
      </c>
      <c r="AK362">
        <v>2</v>
      </c>
      <c r="AL362">
        <v>9490</v>
      </c>
      <c r="AO362">
        <v>383</v>
      </c>
      <c r="AR362">
        <v>44.8</v>
      </c>
      <c r="AW362">
        <v>243</v>
      </c>
      <c r="AX362">
        <v>455</v>
      </c>
      <c r="BA362" t="s">
        <v>155</v>
      </c>
      <c r="BD362" t="s">
        <v>155</v>
      </c>
      <c r="BI362">
        <v>0.12</v>
      </c>
    </row>
    <row r="363" spans="1:61" x14ac:dyDescent="0.2">
      <c r="A363" s="10" t="s">
        <v>976</v>
      </c>
      <c r="B363" s="10" t="s">
        <v>977</v>
      </c>
      <c r="C363" s="10" t="s">
        <v>180</v>
      </c>
      <c r="D363" s="10" t="s">
        <v>135</v>
      </c>
      <c r="E363" s="11" t="s">
        <v>8</v>
      </c>
      <c r="F363" s="11" t="s">
        <v>140</v>
      </c>
      <c r="G363" s="10" t="s">
        <v>704</v>
      </c>
      <c r="I363" s="16">
        <f>(22000*1.66)</f>
        <v>36520</v>
      </c>
      <c r="K363">
        <v>1.5</v>
      </c>
      <c r="O363" s="16">
        <f>(160*3.99)</f>
        <v>638.40000000000009</v>
      </c>
      <c r="S363">
        <v>0.2</v>
      </c>
      <c r="T363">
        <v>26000</v>
      </c>
      <c r="X363" s="16">
        <v>9.1</v>
      </c>
      <c r="Z363">
        <v>17</v>
      </c>
      <c r="AD363" s="16">
        <f>(88*1.22)</f>
        <v>107.36</v>
      </c>
      <c r="AF363">
        <v>35000</v>
      </c>
      <c r="AJ363" s="16">
        <f>(6.7*1.44)</f>
        <v>9.6479999999999997</v>
      </c>
      <c r="AL363">
        <v>11000</v>
      </c>
      <c r="AP363" s="16">
        <f>(520*1.24)</f>
        <v>644.79999999999995</v>
      </c>
      <c r="AR363">
        <v>5.2</v>
      </c>
      <c r="AU363">
        <v>49000</v>
      </c>
      <c r="AZ363">
        <v>130</v>
      </c>
      <c r="BA363">
        <v>100</v>
      </c>
      <c r="BD363">
        <v>73</v>
      </c>
      <c r="BI363">
        <v>0.06</v>
      </c>
    </row>
    <row r="364" spans="1:61" x14ac:dyDescent="0.2">
      <c r="A364" s="10" t="s">
        <v>976</v>
      </c>
      <c r="B364" s="10" t="s">
        <v>977</v>
      </c>
      <c r="C364" s="10" t="s">
        <v>180</v>
      </c>
      <c r="D364" s="10" t="s">
        <v>135</v>
      </c>
      <c r="E364" s="11" t="s">
        <v>8</v>
      </c>
      <c r="F364" s="11" t="s">
        <v>141</v>
      </c>
      <c r="G364" s="10" t="s">
        <v>705</v>
      </c>
      <c r="I364" s="16">
        <f>(3100*1.66)</f>
        <v>5146</v>
      </c>
      <c r="M364">
        <v>2</v>
      </c>
      <c r="O364" s="16">
        <f>(27*3.99)</f>
        <v>107.73</v>
      </c>
      <c r="S364">
        <v>0.24</v>
      </c>
      <c r="T364">
        <v>960</v>
      </c>
      <c r="X364" s="16">
        <v>15</v>
      </c>
      <c r="Z364">
        <v>5.9</v>
      </c>
      <c r="AE364">
        <v>20</v>
      </c>
      <c r="AF364">
        <v>8700</v>
      </c>
      <c r="AJ364" s="16">
        <f>(9.1*1.44)</f>
        <v>13.103999999999999</v>
      </c>
      <c r="AL364">
        <v>1100</v>
      </c>
      <c r="AP364" s="16">
        <f>(290*1.24)</f>
        <v>359.6</v>
      </c>
      <c r="AR364">
        <v>2.8</v>
      </c>
      <c r="AU364">
        <v>260</v>
      </c>
      <c r="AZ364">
        <v>50</v>
      </c>
      <c r="BA364">
        <v>23</v>
      </c>
      <c r="BD364">
        <v>30</v>
      </c>
      <c r="BI364">
        <v>0.06</v>
      </c>
    </row>
    <row r="365" spans="1:61" x14ac:dyDescent="0.2">
      <c r="A365" s="10" t="s">
        <v>976</v>
      </c>
      <c r="B365" s="10" t="s">
        <v>977</v>
      </c>
      <c r="C365" s="10" t="s">
        <v>180</v>
      </c>
      <c r="D365" s="10" t="s">
        <v>135</v>
      </c>
      <c r="E365" s="11" t="s">
        <v>8</v>
      </c>
      <c r="F365" s="11" t="s">
        <v>141</v>
      </c>
      <c r="G365" s="10" t="s">
        <v>978</v>
      </c>
      <c r="I365" s="16">
        <f>(3100*1.66)</f>
        <v>5146</v>
      </c>
      <c r="M365">
        <v>2</v>
      </c>
      <c r="O365" s="16">
        <f>(33*3.99)</f>
        <v>131.67000000000002</v>
      </c>
      <c r="S365">
        <v>0.24</v>
      </c>
      <c r="T365">
        <v>1200</v>
      </c>
      <c r="X365" s="16">
        <v>12</v>
      </c>
      <c r="AA365" s="16">
        <f>(7.1*1.25)</f>
        <v>8.875</v>
      </c>
      <c r="AE365">
        <v>20</v>
      </c>
      <c r="AF365">
        <v>8600</v>
      </c>
      <c r="AJ365" s="16">
        <f>(5.3*1.44)</f>
        <v>7.6319999999999997</v>
      </c>
      <c r="AL365">
        <v>1500</v>
      </c>
      <c r="AP365" s="16">
        <f>(440*1.24)</f>
        <v>545.6</v>
      </c>
      <c r="AR365">
        <v>3.9</v>
      </c>
      <c r="AU365">
        <v>440</v>
      </c>
      <c r="AZ365">
        <v>50</v>
      </c>
      <c r="BA365">
        <v>22</v>
      </c>
      <c r="BD365">
        <v>40</v>
      </c>
      <c r="BI365">
        <v>0.06</v>
      </c>
    </row>
    <row r="366" spans="1:61" x14ac:dyDescent="0.2">
      <c r="A366" s="10" t="s">
        <v>979</v>
      </c>
      <c r="B366" s="10" t="s">
        <v>980</v>
      </c>
      <c r="C366" s="10" t="s">
        <v>180</v>
      </c>
      <c r="D366" s="10" t="s">
        <v>135</v>
      </c>
      <c r="E366" s="11" t="s">
        <v>8</v>
      </c>
      <c r="F366" s="11" t="s">
        <v>140</v>
      </c>
      <c r="G366" s="10" t="s">
        <v>704</v>
      </c>
      <c r="H366">
        <v>11000</v>
      </c>
      <c r="K366">
        <v>75</v>
      </c>
      <c r="N366">
        <v>85</v>
      </c>
      <c r="S366">
        <v>0.22</v>
      </c>
      <c r="U366" s="16">
        <f>(2400*1.28)</f>
        <v>3072</v>
      </c>
      <c r="W366">
        <v>27</v>
      </c>
      <c r="Z366">
        <v>8.6999999999999993</v>
      </c>
      <c r="AC366">
        <v>55</v>
      </c>
      <c r="AF366">
        <v>24000</v>
      </c>
      <c r="AI366">
        <v>140</v>
      </c>
      <c r="AL366">
        <v>2800</v>
      </c>
      <c r="AO366">
        <v>2800</v>
      </c>
      <c r="AT366">
        <v>9</v>
      </c>
      <c r="AU366">
        <v>1300</v>
      </c>
      <c r="AZ366">
        <v>90</v>
      </c>
      <c r="BA366">
        <v>67</v>
      </c>
      <c r="BD366">
        <v>98</v>
      </c>
      <c r="BI366">
        <v>0.05</v>
      </c>
    </row>
    <row r="367" spans="1:61" x14ac:dyDescent="0.2">
      <c r="A367" t="s">
        <v>979</v>
      </c>
      <c r="B367" t="s">
        <v>980</v>
      </c>
      <c r="C367" t="s">
        <v>180</v>
      </c>
      <c r="D367" t="s">
        <v>135</v>
      </c>
      <c r="E367" s="1" t="s">
        <v>8</v>
      </c>
      <c r="F367" s="1" t="s">
        <v>141</v>
      </c>
      <c r="G367" t="s">
        <v>380</v>
      </c>
      <c r="I367" s="16">
        <f>(29100*1.66)</f>
        <v>48306</v>
      </c>
      <c r="M367">
        <v>1</v>
      </c>
      <c r="N367">
        <v>15.6</v>
      </c>
      <c r="S367">
        <f>(8.5*1.41)</f>
        <v>11.984999999999999</v>
      </c>
      <c r="T367">
        <v>261</v>
      </c>
      <c r="X367" s="16">
        <f>(87.6*1.29)</f>
        <v>113.00399999999999</v>
      </c>
      <c r="Z367" t="s">
        <v>155</v>
      </c>
      <c r="AC367">
        <v>49.2</v>
      </c>
      <c r="AF367">
        <v>67900</v>
      </c>
      <c r="AI367">
        <v>9.3000000000000007</v>
      </c>
      <c r="AL367">
        <v>463</v>
      </c>
      <c r="AO367">
        <v>230</v>
      </c>
      <c r="AS367" s="16">
        <f>(7.6*1.35)</f>
        <v>10.26</v>
      </c>
      <c r="AU367">
        <v>281</v>
      </c>
      <c r="AY367" s="16">
        <f>(54.8*25.43)</f>
        <v>1393.5639999999999</v>
      </c>
      <c r="BA367">
        <v>241</v>
      </c>
      <c r="BE367" s="16">
        <f>(36.9*1.5)</f>
        <v>55.349999999999994</v>
      </c>
    </row>
    <row r="368" spans="1:61" ht="16" x14ac:dyDescent="0.2">
      <c r="A368" s="18" t="s">
        <v>981</v>
      </c>
      <c r="B368" s="10" t="s">
        <v>982</v>
      </c>
      <c r="C368" s="10" t="s">
        <v>128</v>
      </c>
      <c r="D368" s="10" t="s">
        <v>129</v>
      </c>
      <c r="E368" s="11" t="s">
        <v>168</v>
      </c>
      <c r="F368" s="11" t="s">
        <v>140</v>
      </c>
      <c r="G368" s="10" t="s">
        <v>983</v>
      </c>
      <c r="H368">
        <v>12000</v>
      </c>
      <c r="M368">
        <v>2</v>
      </c>
      <c r="N368">
        <v>35</v>
      </c>
      <c r="S368">
        <v>1</v>
      </c>
      <c r="T368">
        <v>520</v>
      </c>
      <c r="X368" s="16">
        <f>(27*1.29)</f>
        <v>34.83</v>
      </c>
      <c r="Z368">
        <v>2.4</v>
      </c>
      <c r="AE368">
        <v>20</v>
      </c>
      <c r="AF368">
        <v>35000</v>
      </c>
      <c r="AJ368" s="16">
        <f>(16*1.44)</f>
        <v>23.04</v>
      </c>
      <c r="AL368">
        <v>290</v>
      </c>
      <c r="AO368">
        <v>110</v>
      </c>
      <c r="AR368">
        <v>4.5</v>
      </c>
      <c r="AU368">
        <v>500</v>
      </c>
      <c r="AZ368">
        <v>240</v>
      </c>
      <c r="BA368">
        <v>61</v>
      </c>
      <c r="BF368">
        <v>30</v>
      </c>
      <c r="BI368">
        <v>0.12</v>
      </c>
    </row>
    <row r="369" spans="1:61" ht="16" x14ac:dyDescent="0.2">
      <c r="A369" s="18" t="s">
        <v>981</v>
      </c>
      <c r="B369" s="10" t="s">
        <v>982</v>
      </c>
      <c r="C369" s="10" t="s">
        <v>128</v>
      </c>
      <c r="D369" s="10" t="s">
        <v>129</v>
      </c>
      <c r="E369" s="11" t="s">
        <v>168</v>
      </c>
      <c r="F369" s="11" t="s">
        <v>141</v>
      </c>
      <c r="G369" s="10" t="s">
        <v>984</v>
      </c>
      <c r="H369">
        <v>21000</v>
      </c>
      <c r="M369">
        <v>2</v>
      </c>
      <c r="N369">
        <v>20</v>
      </c>
      <c r="S369">
        <v>1</v>
      </c>
      <c r="V369">
        <v>350</v>
      </c>
      <c r="X369" s="16">
        <f>(35*1.29)</f>
        <v>45.15</v>
      </c>
      <c r="Z369">
        <v>16</v>
      </c>
      <c r="AD369" s="16">
        <f>(33*1.22)</f>
        <v>40.26</v>
      </c>
      <c r="AF369">
        <v>43000</v>
      </c>
      <c r="AJ369" s="16">
        <f>(18*1.44)</f>
        <v>25.919999999999998</v>
      </c>
      <c r="AL369">
        <v>150</v>
      </c>
      <c r="AO369">
        <v>170</v>
      </c>
      <c r="AR369">
        <v>3.7</v>
      </c>
      <c r="AU369">
        <v>550</v>
      </c>
      <c r="AZ369">
        <v>250</v>
      </c>
      <c r="BA369">
        <v>72</v>
      </c>
      <c r="BF369">
        <v>20</v>
      </c>
    </row>
    <row r="370" spans="1:61" ht="16" x14ac:dyDescent="0.2">
      <c r="A370" s="18" t="s">
        <v>981</v>
      </c>
      <c r="B370" s="10" t="s">
        <v>982</v>
      </c>
      <c r="C370" s="10" t="s">
        <v>128</v>
      </c>
      <c r="D370" s="10" t="s">
        <v>129</v>
      </c>
      <c r="E370" s="11" t="s">
        <v>168</v>
      </c>
      <c r="F370" s="11" t="s">
        <v>153</v>
      </c>
      <c r="G370" s="10" t="s">
        <v>985</v>
      </c>
      <c r="H370">
        <v>26000</v>
      </c>
      <c r="M370">
        <v>2</v>
      </c>
      <c r="N370">
        <v>78</v>
      </c>
      <c r="S370">
        <v>0.9</v>
      </c>
      <c r="T370">
        <v>420</v>
      </c>
      <c r="X370" s="16">
        <f>(36*1.29)</f>
        <v>46.44</v>
      </c>
      <c r="Z370">
        <v>6.2</v>
      </c>
      <c r="AD370" s="16">
        <f>(20*1.22)</f>
        <v>24.4</v>
      </c>
      <c r="AF370">
        <v>23000</v>
      </c>
      <c r="AJ370" s="16">
        <f>(44*1.44)</f>
        <v>63.36</v>
      </c>
      <c r="AL370">
        <v>1900</v>
      </c>
      <c r="AO370">
        <v>130</v>
      </c>
      <c r="AR370">
        <v>14</v>
      </c>
      <c r="AU370">
        <v>1500</v>
      </c>
      <c r="AZ370">
        <v>300</v>
      </c>
      <c r="BA370">
        <v>55</v>
      </c>
      <c r="BF370">
        <v>50</v>
      </c>
    </row>
    <row r="371" spans="1:61" ht="16" x14ac:dyDescent="0.2">
      <c r="A371" s="15" t="s">
        <v>986</v>
      </c>
      <c r="B371" t="s">
        <v>987</v>
      </c>
      <c r="C371" t="s">
        <v>635</v>
      </c>
      <c r="D371" t="s">
        <v>636</v>
      </c>
      <c r="F371" s="1" t="s">
        <v>141</v>
      </c>
      <c r="G371" t="s">
        <v>988</v>
      </c>
      <c r="H371">
        <v>18000</v>
      </c>
      <c r="K371">
        <v>2</v>
      </c>
      <c r="N371">
        <v>49</v>
      </c>
      <c r="Q371" t="s">
        <v>155</v>
      </c>
      <c r="T371" t="s">
        <v>155</v>
      </c>
      <c r="W371">
        <v>3.3</v>
      </c>
      <c r="Z371">
        <v>3.3</v>
      </c>
      <c r="AC371" t="s">
        <v>155</v>
      </c>
      <c r="AF371">
        <v>15000</v>
      </c>
      <c r="AI371">
        <v>23</v>
      </c>
      <c r="AL371">
        <v>1700</v>
      </c>
      <c r="AO371">
        <v>98</v>
      </c>
      <c r="AT371">
        <v>4.3</v>
      </c>
      <c r="AU371">
        <v>2900</v>
      </c>
      <c r="AZ371">
        <v>110</v>
      </c>
      <c r="BA371">
        <v>15</v>
      </c>
      <c r="BD371">
        <v>62</v>
      </c>
      <c r="BI371">
        <v>2.3E-2</v>
      </c>
    </row>
    <row r="372" spans="1:61" ht="16" x14ac:dyDescent="0.2">
      <c r="A372" s="15" t="s">
        <v>986</v>
      </c>
      <c r="B372" t="s">
        <v>987</v>
      </c>
      <c r="C372" t="s">
        <v>635</v>
      </c>
      <c r="D372" t="s">
        <v>636</v>
      </c>
      <c r="F372" s="1" t="s">
        <v>141</v>
      </c>
      <c r="G372" t="s">
        <v>989</v>
      </c>
      <c r="H372">
        <v>15000</v>
      </c>
      <c r="K372">
        <v>3.3</v>
      </c>
      <c r="N372">
        <v>35</v>
      </c>
      <c r="Q372" t="s">
        <v>155</v>
      </c>
      <c r="T372" t="s">
        <v>155</v>
      </c>
      <c r="W372">
        <v>2.1</v>
      </c>
      <c r="Z372">
        <v>2.4</v>
      </c>
      <c r="AC372" t="s">
        <v>155</v>
      </c>
      <c r="AF372">
        <v>14000</v>
      </c>
      <c r="AI372">
        <v>18</v>
      </c>
      <c r="AL372">
        <v>1300</v>
      </c>
      <c r="AO372">
        <v>100</v>
      </c>
      <c r="AT372">
        <v>4.3</v>
      </c>
      <c r="AU372">
        <v>2100</v>
      </c>
      <c r="AZ372">
        <v>110</v>
      </c>
      <c r="BA372">
        <v>14</v>
      </c>
      <c r="BD372">
        <v>47</v>
      </c>
      <c r="BI372">
        <v>2.1999999999999999E-2</v>
      </c>
    </row>
    <row r="373" spans="1:61" ht="16" x14ac:dyDescent="0.2">
      <c r="A373" s="15" t="s">
        <v>986</v>
      </c>
      <c r="B373" t="s">
        <v>987</v>
      </c>
      <c r="C373" t="s">
        <v>635</v>
      </c>
      <c r="D373" t="s">
        <v>636</v>
      </c>
      <c r="F373" s="1" t="s">
        <v>141</v>
      </c>
      <c r="G373" t="s">
        <v>990</v>
      </c>
      <c r="H373">
        <v>25000</v>
      </c>
      <c r="K373">
        <v>7.5</v>
      </c>
      <c r="N373">
        <v>68</v>
      </c>
      <c r="Q373" t="s">
        <v>155</v>
      </c>
      <c r="T373" t="s">
        <v>155</v>
      </c>
      <c r="W373">
        <v>39</v>
      </c>
      <c r="Z373">
        <v>5.3</v>
      </c>
      <c r="AC373">
        <v>48</v>
      </c>
      <c r="AF373">
        <v>38000</v>
      </c>
      <c r="AI373">
        <v>33</v>
      </c>
      <c r="AL373">
        <v>4500</v>
      </c>
      <c r="AO373">
        <v>130</v>
      </c>
      <c r="AR373">
        <v>12</v>
      </c>
      <c r="AU373" t="s">
        <v>155</v>
      </c>
      <c r="AZ373">
        <v>110</v>
      </c>
      <c r="BA373">
        <v>64</v>
      </c>
      <c r="BD373">
        <v>94</v>
      </c>
      <c r="BH373" s="16">
        <f>(0.0068*1.83)</f>
        <v>1.2444E-2</v>
      </c>
    </row>
    <row r="374" spans="1:61" ht="16" x14ac:dyDescent="0.2">
      <c r="A374" s="15" t="s">
        <v>986</v>
      </c>
      <c r="B374" t="s">
        <v>987</v>
      </c>
      <c r="C374" t="s">
        <v>635</v>
      </c>
      <c r="D374" t="s">
        <v>636</v>
      </c>
      <c r="F374" s="1" t="s">
        <v>141</v>
      </c>
      <c r="G374" t="s">
        <v>991</v>
      </c>
      <c r="H374">
        <v>19000</v>
      </c>
      <c r="K374">
        <v>1.7</v>
      </c>
      <c r="N374">
        <v>5</v>
      </c>
      <c r="Q374" t="s">
        <v>155</v>
      </c>
      <c r="T374" t="s">
        <v>155</v>
      </c>
      <c r="W374">
        <v>6.5</v>
      </c>
      <c r="Z374">
        <v>5.3</v>
      </c>
      <c r="AC374" t="s">
        <v>155</v>
      </c>
      <c r="AF374">
        <v>17000</v>
      </c>
      <c r="AI374">
        <v>23</v>
      </c>
      <c r="AL374">
        <v>1500</v>
      </c>
      <c r="AO374">
        <v>300</v>
      </c>
      <c r="AR374">
        <v>5.2</v>
      </c>
      <c r="AU374">
        <v>2600</v>
      </c>
      <c r="AZ374">
        <v>110</v>
      </c>
      <c r="BA374">
        <v>16</v>
      </c>
      <c r="BD374">
        <v>60</v>
      </c>
      <c r="BI374">
        <v>0.1</v>
      </c>
    </row>
    <row r="375" spans="1:61" ht="16" x14ac:dyDescent="0.2">
      <c r="A375" s="15" t="s">
        <v>986</v>
      </c>
      <c r="B375" t="s">
        <v>987</v>
      </c>
      <c r="C375" t="s">
        <v>635</v>
      </c>
      <c r="D375" t="s">
        <v>636</v>
      </c>
      <c r="F375" s="1" t="s">
        <v>141</v>
      </c>
      <c r="G375" t="s">
        <v>992</v>
      </c>
      <c r="H375">
        <v>23000</v>
      </c>
      <c r="K375">
        <v>3.5</v>
      </c>
      <c r="N375">
        <v>49</v>
      </c>
      <c r="Q375" t="s">
        <v>155</v>
      </c>
      <c r="T375" t="s">
        <v>155</v>
      </c>
      <c r="W375">
        <v>31</v>
      </c>
      <c r="Z375">
        <v>13</v>
      </c>
      <c r="AC375">
        <v>25</v>
      </c>
      <c r="AF375">
        <v>30000</v>
      </c>
      <c r="AI375">
        <v>39</v>
      </c>
      <c r="AL375">
        <v>1900</v>
      </c>
      <c r="AO375">
        <v>170</v>
      </c>
      <c r="AR375">
        <v>13</v>
      </c>
      <c r="AU375">
        <v>2800</v>
      </c>
      <c r="AZ375">
        <v>110</v>
      </c>
      <c r="BA375">
        <v>41</v>
      </c>
      <c r="BD375">
        <v>51</v>
      </c>
      <c r="BH375" s="16">
        <f>(0.0059*1.83)</f>
        <v>1.0796999999999999E-2</v>
      </c>
    </row>
    <row r="376" spans="1:61" ht="16" x14ac:dyDescent="0.2">
      <c r="A376" s="15" t="s">
        <v>986</v>
      </c>
      <c r="B376" t="s">
        <v>987</v>
      </c>
      <c r="C376" t="s">
        <v>635</v>
      </c>
      <c r="D376" t="s">
        <v>636</v>
      </c>
      <c r="F376" s="1" t="s">
        <v>141</v>
      </c>
      <c r="G376" t="s">
        <v>993</v>
      </c>
      <c r="H376">
        <v>33000</v>
      </c>
      <c r="K376">
        <v>2.7</v>
      </c>
      <c r="N376">
        <v>90</v>
      </c>
      <c r="Q376" t="s">
        <v>155</v>
      </c>
      <c r="T376" t="s">
        <v>155</v>
      </c>
      <c r="W376">
        <v>20</v>
      </c>
      <c r="Z376">
        <v>12</v>
      </c>
      <c r="AC376">
        <v>14</v>
      </c>
      <c r="AF376">
        <v>19000</v>
      </c>
      <c r="AI376">
        <v>22</v>
      </c>
      <c r="AL376">
        <v>2700</v>
      </c>
      <c r="AO376">
        <v>140</v>
      </c>
      <c r="AR376">
        <v>12</v>
      </c>
      <c r="AU376" t="s">
        <v>155</v>
      </c>
      <c r="AZ376">
        <v>100</v>
      </c>
      <c r="BA376">
        <v>24</v>
      </c>
      <c r="BD376">
        <v>57</v>
      </c>
      <c r="BH376" s="16">
        <f>(0.0072*1.83)</f>
        <v>1.3176E-2</v>
      </c>
    </row>
    <row r="377" spans="1:61" ht="16" x14ac:dyDescent="0.2">
      <c r="A377" s="15" t="s">
        <v>994</v>
      </c>
      <c r="B377" t="s">
        <v>995</v>
      </c>
      <c r="C377" t="s">
        <v>996</v>
      </c>
      <c r="D377" t="s">
        <v>353</v>
      </c>
      <c r="E377" s="1" t="s">
        <v>168</v>
      </c>
      <c r="F377" s="1" t="s">
        <v>140</v>
      </c>
      <c r="G377" t="s">
        <v>690</v>
      </c>
      <c r="H377">
        <v>14500</v>
      </c>
      <c r="K377" t="s">
        <v>155</v>
      </c>
      <c r="O377" t="s">
        <v>155</v>
      </c>
      <c r="Q377" t="s">
        <v>155</v>
      </c>
      <c r="T377" t="s">
        <v>155</v>
      </c>
      <c r="W377">
        <v>31</v>
      </c>
      <c r="Z377" t="s">
        <v>155</v>
      </c>
      <c r="AC377">
        <v>8.4</v>
      </c>
      <c r="AF377">
        <v>9220</v>
      </c>
      <c r="AJ377" s="16">
        <f>(6.9*1.44)</f>
        <v>9.9359999999999999</v>
      </c>
      <c r="AL377" t="s">
        <v>155</v>
      </c>
      <c r="AO377">
        <v>35.4</v>
      </c>
      <c r="AR377" t="s">
        <v>155</v>
      </c>
      <c r="AU377" t="s">
        <v>155</v>
      </c>
      <c r="AX377" t="s">
        <v>155</v>
      </c>
      <c r="BA377">
        <v>90.4</v>
      </c>
      <c r="BD377">
        <v>11.5</v>
      </c>
      <c r="BG377" t="s">
        <v>155</v>
      </c>
    </row>
    <row r="378" spans="1:61" ht="16" x14ac:dyDescent="0.2">
      <c r="A378" s="18" t="s">
        <v>997</v>
      </c>
      <c r="B378" s="10" t="s">
        <v>998</v>
      </c>
      <c r="C378" s="10" t="s">
        <v>429</v>
      </c>
      <c r="D378" s="10" t="s">
        <v>372</v>
      </c>
      <c r="E378" s="11" t="s">
        <v>8</v>
      </c>
      <c r="F378" s="11" t="s">
        <v>141</v>
      </c>
      <c r="G378" s="10" t="s">
        <v>999</v>
      </c>
      <c r="H378">
        <v>14000</v>
      </c>
      <c r="M378">
        <v>2.2000000000000002</v>
      </c>
      <c r="N378">
        <v>54</v>
      </c>
      <c r="S378">
        <v>0.7</v>
      </c>
      <c r="T378">
        <v>360</v>
      </c>
      <c r="W378">
        <v>3.1</v>
      </c>
      <c r="Z378">
        <v>5.7</v>
      </c>
      <c r="AC378">
        <v>3.6</v>
      </c>
      <c r="AF378">
        <v>11000</v>
      </c>
      <c r="AJ378" s="16">
        <f>(4.2*1.44)</f>
        <v>6.048</v>
      </c>
      <c r="AL378">
        <v>2300</v>
      </c>
      <c r="AO378">
        <v>330</v>
      </c>
      <c r="AS378" s="16">
        <f>(3.6*1.35)</f>
        <v>4.8600000000000003</v>
      </c>
      <c r="AW378">
        <v>1500</v>
      </c>
      <c r="AZ378">
        <v>180</v>
      </c>
      <c r="BA378">
        <v>23</v>
      </c>
      <c r="BD378">
        <v>27</v>
      </c>
      <c r="BI378">
        <v>1</v>
      </c>
    </row>
    <row r="379" spans="1:61" ht="16" x14ac:dyDescent="0.2">
      <c r="A379" s="18" t="s">
        <v>997</v>
      </c>
      <c r="B379" s="10" t="s">
        <v>998</v>
      </c>
      <c r="C379" s="10" t="s">
        <v>429</v>
      </c>
      <c r="D379" s="10" t="s">
        <v>372</v>
      </c>
      <c r="E379" s="11" t="s">
        <v>8</v>
      </c>
      <c r="F379" s="11" t="s">
        <v>153</v>
      </c>
      <c r="G379" s="10" t="s">
        <v>1000</v>
      </c>
      <c r="H379">
        <v>3100</v>
      </c>
      <c r="M379">
        <v>2.5</v>
      </c>
      <c r="N379">
        <v>32</v>
      </c>
      <c r="S379">
        <v>0.8</v>
      </c>
      <c r="T379">
        <v>130</v>
      </c>
      <c r="Y379">
        <v>1.5</v>
      </c>
      <c r="Z379">
        <v>2.8</v>
      </c>
      <c r="AC379">
        <v>3.3</v>
      </c>
      <c r="AF379">
        <v>4400</v>
      </c>
      <c r="AJ379" s="16">
        <f>(2.9*1.44)</f>
        <v>4.1760000000000002</v>
      </c>
      <c r="AL379">
        <v>800</v>
      </c>
      <c r="AO379">
        <v>220</v>
      </c>
      <c r="AS379" s="16">
        <f>(34*1.35)</f>
        <v>45.900000000000006</v>
      </c>
      <c r="AW379">
        <v>1100</v>
      </c>
      <c r="AZ379">
        <v>200</v>
      </c>
      <c r="BA379">
        <v>8</v>
      </c>
      <c r="BD379">
        <v>40</v>
      </c>
      <c r="BI379">
        <v>0.1</v>
      </c>
    </row>
    <row r="380" spans="1:61" ht="16" x14ac:dyDescent="0.2">
      <c r="A380" s="15" t="s">
        <v>1001</v>
      </c>
      <c r="B380" t="s">
        <v>1002</v>
      </c>
      <c r="C380" t="s">
        <v>180</v>
      </c>
      <c r="D380" t="s">
        <v>135</v>
      </c>
      <c r="E380" s="1" t="s">
        <v>8</v>
      </c>
      <c r="F380" s="1" t="s">
        <v>153</v>
      </c>
      <c r="G380" t="s">
        <v>1003</v>
      </c>
      <c r="H380" t="s">
        <v>155</v>
      </c>
      <c r="M380">
        <v>10</v>
      </c>
      <c r="N380">
        <v>28</v>
      </c>
      <c r="S380">
        <v>14</v>
      </c>
      <c r="T380" t="s">
        <v>155</v>
      </c>
      <c r="Y380">
        <v>36</v>
      </c>
      <c r="Z380" t="s">
        <v>155</v>
      </c>
      <c r="AC380" t="s">
        <v>155</v>
      </c>
      <c r="AF380" t="s">
        <v>155</v>
      </c>
      <c r="AK380">
        <v>18</v>
      </c>
      <c r="AL380" t="s">
        <v>155</v>
      </c>
      <c r="AO380" t="s">
        <v>155</v>
      </c>
      <c r="AR380" t="s">
        <v>155</v>
      </c>
      <c r="AU380" t="s">
        <v>155</v>
      </c>
      <c r="AX380" t="s">
        <v>155</v>
      </c>
      <c r="BA380" t="s">
        <v>155</v>
      </c>
      <c r="BD380" t="s">
        <v>155</v>
      </c>
      <c r="BI380">
        <v>0.09</v>
      </c>
    </row>
    <row r="381" spans="1:61" ht="16" x14ac:dyDescent="0.2">
      <c r="A381" s="15" t="s">
        <v>1004</v>
      </c>
      <c r="B381" t="s">
        <v>1005</v>
      </c>
      <c r="C381" t="s">
        <v>378</v>
      </c>
      <c r="D381" t="s">
        <v>379</v>
      </c>
      <c r="E381" s="1" t="s">
        <v>168</v>
      </c>
      <c r="F381" s="1" t="s">
        <v>141</v>
      </c>
      <c r="G381" t="s">
        <v>693</v>
      </c>
      <c r="H381" t="s">
        <v>155</v>
      </c>
      <c r="M381">
        <v>1.2</v>
      </c>
      <c r="N381" t="s">
        <v>155</v>
      </c>
      <c r="Q381" t="s">
        <v>155</v>
      </c>
      <c r="T381" t="s">
        <v>155</v>
      </c>
      <c r="W381" t="s">
        <v>155</v>
      </c>
      <c r="Z381" t="s">
        <v>155</v>
      </c>
      <c r="AC381" t="s">
        <v>155</v>
      </c>
      <c r="AF381" t="s">
        <v>155</v>
      </c>
      <c r="AI381">
        <v>14.3</v>
      </c>
      <c r="AL381" t="s">
        <v>155</v>
      </c>
      <c r="AO381">
        <v>1700</v>
      </c>
      <c r="AR381" t="s">
        <v>155</v>
      </c>
      <c r="AU381" t="s">
        <v>155</v>
      </c>
      <c r="AX381" t="s">
        <v>155</v>
      </c>
      <c r="BA381" t="s">
        <v>155</v>
      </c>
      <c r="BD381" t="s">
        <v>155</v>
      </c>
      <c r="BG381" t="s">
        <v>155</v>
      </c>
    </row>
    <row r="382" spans="1:61" ht="16" x14ac:dyDescent="0.2">
      <c r="A382" s="15" t="s">
        <v>1004</v>
      </c>
      <c r="B382" t="s">
        <v>1005</v>
      </c>
      <c r="C382" t="s">
        <v>378</v>
      </c>
      <c r="D382" t="s">
        <v>379</v>
      </c>
      <c r="E382" s="1" t="s">
        <v>168</v>
      </c>
      <c r="F382" s="1" t="s">
        <v>141</v>
      </c>
      <c r="G382" t="s">
        <v>694</v>
      </c>
      <c r="H382" t="s">
        <v>155</v>
      </c>
      <c r="M382">
        <v>1</v>
      </c>
      <c r="N382" t="s">
        <v>155</v>
      </c>
      <c r="Q382" t="s">
        <v>155</v>
      </c>
      <c r="T382" t="s">
        <v>155</v>
      </c>
      <c r="W382" t="s">
        <v>155</v>
      </c>
      <c r="Z382" t="s">
        <v>155</v>
      </c>
      <c r="AC382" t="s">
        <v>155</v>
      </c>
      <c r="AF382" t="s">
        <v>155</v>
      </c>
      <c r="AI382">
        <v>11.9</v>
      </c>
      <c r="AL382" t="s">
        <v>155</v>
      </c>
      <c r="AO382">
        <v>973</v>
      </c>
      <c r="AR382" t="s">
        <v>155</v>
      </c>
      <c r="AU382" t="s">
        <v>155</v>
      </c>
      <c r="AX382" t="s">
        <v>155</v>
      </c>
      <c r="BA382" t="s">
        <v>155</v>
      </c>
      <c r="BD382" t="s">
        <v>155</v>
      </c>
      <c r="BG382" t="s">
        <v>155</v>
      </c>
    </row>
    <row r="383" spans="1:61" ht="16" x14ac:dyDescent="0.2">
      <c r="A383" s="15" t="s">
        <v>1004</v>
      </c>
      <c r="B383" t="s">
        <v>1005</v>
      </c>
      <c r="C383" t="s">
        <v>378</v>
      </c>
      <c r="D383" t="s">
        <v>379</v>
      </c>
      <c r="E383" s="1" t="s">
        <v>168</v>
      </c>
      <c r="F383" s="1" t="s">
        <v>141</v>
      </c>
      <c r="G383" t="s">
        <v>751</v>
      </c>
      <c r="H383" t="s">
        <v>155</v>
      </c>
      <c r="M383">
        <v>1.2</v>
      </c>
      <c r="N383" t="s">
        <v>155</v>
      </c>
      <c r="Q383" t="s">
        <v>155</v>
      </c>
      <c r="T383" t="s">
        <v>155</v>
      </c>
      <c r="W383" t="s">
        <v>155</v>
      </c>
      <c r="Z383" t="s">
        <v>155</v>
      </c>
      <c r="AC383" t="s">
        <v>155</v>
      </c>
      <c r="AF383" t="s">
        <v>155</v>
      </c>
      <c r="AI383">
        <v>10.6</v>
      </c>
      <c r="AL383" t="s">
        <v>155</v>
      </c>
      <c r="AO383">
        <v>373</v>
      </c>
      <c r="AR383" t="s">
        <v>155</v>
      </c>
      <c r="AU383" t="s">
        <v>155</v>
      </c>
      <c r="AX383" t="s">
        <v>155</v>
      </c>
      <c r="BA383" t="s">
        <v>155</v>
      </c>
      <c r="BD383" t="s">
        <v>155</v>
      </c>
      <c r="BG383" t="s">
        <v>155</v>
      </c>
    </row>
    <row r="384" spans="1:61" ht="16" x14ac:dyDescent="0.2">
      <c r="A384" s="15" t="s">
        <v>1004</v>
      </c>
      <c r="B384" t="s">
        <v>1005</v>
      </c>
      <c r="C384" t="s">
        <v>378</v>
      </c>
      <c r="D384" t="s">
        <v>379</v>
      </c>
      <c r="E384" s="1" t="s">
        <v>168</v>
      </c>
      <c r="F384" s="1" t="s">
        <v>141</v>
      </c>
      <c r="G384" t="s">
        <v>765</v>
      </c>
      <c r="H384" t="s">
        <v>155</v>
      </c>
      <c r="M384">
        <v>1</v>
      </c>
      <c r="N384" t="s">
        <v>155</v>
      </c>
      <c r="Q384" t="s">
        <v>155</v>
      </c>
      <c r="T384" t="s">
        <v>155</v>
      </c>
      <c r="W384" t="s">
        <v>155</v>
      </c>
      <c r="Z384" t="s">
        <v>155</v>
      </c>
      <c r="AC384" t="s">
        <v>155</v>
      </c>
      <c r="AF384" t="s">
        <v>155</v>
      </c>
      <c r="AI384">
        <v>32.6</v>
      </c>
      <c r="AL384" t="s">
        <v>155</v>
      </c>
      <c r="AO384">
        <v>2200</v>
      </c>
      <c r="AR384" t="s">
        <v>155</v>
      </c>
      <c r="AU384" t="s">
        <v>155</v>
      </c>
      <c r="AX384" t="s">
        <v>155</v>
      </c>
      <c r="BA384" t="s">
        <v>155</v>
      </c>
      <c r="BD384" t="s">
        <v>155</v>
      </c>
      <c r="BG384" t="s">
        <v>155</v>
      </c>
    </row>
    <row r="385" spans="1:61" ht="16" x14ac:dyDescent="0.2">
      <c r="A385" s="15" t="s">
        <v>1004</v>
      </c>
      <c r="B385" t="s">
        <v>1005</v>
      </c>
      <c r="C385" t="s">
        <v>378</v>
      </c>
      <c r="D385" t="s">
        <v>379</v>
      </c>
      <c r="E385" s="1" t="s">
        <v>168</v>
      </c>
      <c r="F385" s="1" t="s">
        <v>141</v>
      </c>
      <c r="G385" t="s">
        <v>766</v>
      </c>
      <c r="H385" t="s">
        <v>155</v>
      </c>
      <c r="M385">
        <v>1.2</v>
      </c>
      <c r="N385" t="s">
        <v>155</v>
      </c>
      <c r="Q385" t="s">
        <v>155</v>
      </c>
      <c r="T385" t="s">
        <v>155</v>
      </c>
      <c r="W385" t="s">
        <v>155</v>
      </c>
      <c r="Z385" t="s">
        <v>155</v>
      </c>
      <c r="AC385" t="s">
        <v>155</v>
      </c>
      <c r="AF385" t="s">
        <v>155</v>
      </c>
      <c r="AI385">
        <v>41.5</v>
      </c>
      <c r="AL385" t="s">
        <v>155</v>
      </c>
      <c r="AO385">
        <v>20800</v>
      </c>
      <c r="AR385" t="s">
        <v>155</v>
      </c>
      <c r="AU385" t="s">
        <v>155</v>
      </c>
      <c r="AX385" t="s">
        <v>155</v>
      </c>
      <c r="BA385" t="s">
        <v>155</v>
      </c>
      <c r="BD385" t="s">
        <v>155</v>
      </c>
      <c r="BG385" t="s">
        <v>155</v>
      </c>
    </row>
    <row r="386" spans="1:61" ht="16" x14ac:dyDescent="0.2">
      <c r="A386" s="15" t="s">
        <v>1006</v>
      </c>
      <c r="B386" t="s">
        <v>1007</v>
      </c>
      <c r="C386" t="s">
        <v>184</v>
      </c>
      <c r="D386" t="s">
        <v>134</v>
      </c>
      <c r="E386" s="1" t="s">
        <v>8</v>
      </c>
      <c r="F386" s="1" t="s">
        <v>140</v>
      </c>
      <c r="G386" t="s">
        <v>1008</v>
      </c>
      <c r="H386" t="s">
        <v>155</v>
      </c>
      <c r="M386">
        <v>2</v>
      </c>
      <c r="N386">
        <v>25</v>
      </c>
      <c r="S386">
        <v>16</v>
      </c>
      <c r="T386" t="s">
        <v>155</v>
      </c>
      <c r="Y386">
        <v>20</v>
      </c>
      <c r="Z386" t="s">
        <v>155</v>
      </c>
      <c r="AC386" t="s">
        <v>155</v>
      </c>
      <c r="AF386" t="s">
        <v>155</v>
      </c>
      <c r="AK386">
        <v>20</v>
      </c>
      <c r="AL386" t="s">
        <v>155</v>
      </c>
      <c r="AO386" t="s">
        <v>155</v>
      </c>
      <c r="AR386" t="s">
        <v>155</v>
      </c>
      <c r="AU386" t="s">
        <v>155</v>
      </c>
      <c r="AX386" t="s">
        <v>155</v>
      </c>
      <c r="BA386" t="s">
        <v>155</v>
      </c>
      <c r="BD386" t="s">
        <v>155</v>
      </c>
      <c r="BI386">
        <v>0.1</v>
      </c>
    </row>
    <row r="387" spans="1:61" ht="16" x14ac:dyDescent="0.2">
      <c r="A387" s="15" t="s">
        <v>1009</v>
      </c>
      <c r="B387" t="s">
        <v>1010</v>
      </c>
      <c r="C387" t="s">
        <v>1011</v>
      </c>
      <c r="D387" t="s">
        <v>216</v>
      </c>
      <c r="E387" s="1" t="s">
        <v>8</v>
      </c>
      <c r="F387" s="1" t="s">
        <v>140</v>
      </c>
      <c r="G387" t="s">
        <v>1012</v>
      </c>
      <c r="H387" t="s">
        <v>155</v>
      </c>
      <c r="K387">
        <v>1.5</v>
      </c>
      <c r="N387">
        <v>43</v>
      </c>
      <c r="S387">
        <v>1</v>
      </c>
      <c r="T387" t="s">
        <v>155</v>
      </c>
      <c r="Y387">
        <v>15</v>
      </c>
      <c r="Z387">
        <v>16</v>
      </c>
      <c r="AC387">
        <v>12.5</v>
      </c>
      <c r="AF387">
        <v>23445</v>
      </c>
      <c r="AI387">
        <v>15</v>
      </c>
      <c r="AL387" t="s">
        <v>155</v>
      </c>
      <c r="AO387">
        <v>315</v>
      </c>
      <c r="AR387">
        <v>4</v>
      </c>
      <c r="AU387" t="s">
        <v>155</v>
      </c>
      <c r="AX387" t="s">
        <v>155</v>
      </c>
      <c r="BA387" t="s">
        <v>155</v>
      </c>
      <c r="BD387">
        <v>43</v>
      </c>
      <c r="BI387">
        <v>0.05</v>
      </c>
    </row>
    <row r="388" spans="1:61" ht="16" x14ac:dyDescent="0.2">
      <c r="A388" s="15" t="s">
        <v>1009</v>
      </c>
      <c r="B388" t="s">
        <v>1010</v>
      </c>
      <c r="C388" t="s">
        <v>1011</v>
      </c>
      <c r="D388" t="s">
        <v>216</v>
      </c>
      <c r="E388" s="1" t="s">
        <v>8</v>
      </c>
      <c r="F388" s="1" t="s">
        <v>153</v>
      </c>
      <c r="G388" t="s">
        <v>1013</v>
      </c>
      <c r="H388" t="s">
        <v>155</v>
      </c>
      <c r="M388">
        <v>1</v>
      </c>
      <c r="N388">
        <v>16.5</v>
      </c>
      <c r="S388">
        <v>1</v>
      </c>
      <c r="T388" t="s">
        <v>155</v>
      </c>
      <c r="W388">
        <v>2.5</v>
      </c>
      <c r="Z388">
        <v>1.5</v>
      </c>
      <c r="AC388">
        <v>5.5</v>
      </c>
      <c r="AF388">
        <v>3024</v>
      </c>
      <c r="AI388">
        <v>5.5</v>
      </c>
      <c r="AL388" t="s">
        <v>155</v>
      </c>
      <c r="AO388">
        <v>33</v>
      </c>
      <c r="AR388">
        <v>1.5</v>
      </c>
      <c r="AU388" t="s">
        <v>155</v>
      </c>
      <c r="AX388" t="s">
        <v>155</v>
      </c>
      <c r="BA388" t="s">
        <v>155</v>
      </c>
      <c r="BD388">
        <v>20.5</v>
      </c>
      <c r="BI388">
        <v>0.05</v>
      </c>
    </row>
    <row r="389" spans="1:61" ht="16" x14ac:dyDescent="0.2">
      <c r="A389" s="15" t="s">
        <v>1009</v>
      </c>
      <c r="B389" t="s">
        <v>1010</v>
      </c>
      <c r="C389" t="s">
        <v>1011</v>
      </c>
      <c r="D389" t="s">
        <v>216</v>
      </c>
      <c r="E389" s="1" t="s">
        <v>8</v>
      </c>
      <c r="F389" s="1" t="s">
        <v>153</v>
      </c>
      <c r="G389" t="s">
        <v>1014</v>
      </c>
      <c r="H389" t="s">
        <v>155</v>
      </c>
      <c r="M389">
        <v>1</v>
      </c>
      <c r="N389">
        <v>31</v>
      </c>
      <c r="S389">
        <v>1</v>
      </c>
      <c r="T389" t="s">
        <v>155</v>
      </c>
      <c r="W389">
        <v>4</v>
      </c>
      <c r="Z389">
        <v>2</v>
      </c>
      <c r="AC389">
        <v>8.5</v>
      </c>
      <c r="AF389">
        <v>6325</v>
      </c>
      <c r="AI389">
        <v>8</v>
      </c>
      <c r="AL389" t="s">
        <v>155</v>
      </c>
      <c r="AO389">
        <v>74</v>
      </c>
      <c r="AR389">
        <v>2</v>
      </c>
      <c r="AU389" t="s">
        <v>155</v>
      </c>
      <c r="AX389" t="s">
        <v>155</v>
      </c>
      <c r="BA389" t="s">
        <v>155</v>
      </c>
      <c r="BD389">
        <v>37</v>
      </c>
      <c r="BI389">
        <v>0.05</v>
      </c>
    </row>
    <row r="390" spans="1:61" ht="16" x14ac:dyDescent="0.2">
      <c r="A390" s="15" t="s">
        <v>1015</v>
      </c>
      <c r="B390" t="s">
        <v>1016</v>
      </c>
      <c r="C390" t="s">
        <v>1017</v>
      </c>
      <c r="D390" t="s">
        <v>304</v>
      </c>
      <c r="E390" s="1" t="s">
        <v>168</v>
      </c>
      <c r="F390" s="1" t="s">
        <v>141</v>
      </c>
      <c r="G390" t="s">
        <v>1018</v>
      </c>
      <c r="H390" t="s">
        <v>155</v>
      </c>
      <c r="M390">
        <v>7.8</v>
      </c>
      <c r="N390">
        <v>33</v>
      </c>
      <c r="S390">
        <v>16</v>
      </c>
      <c r="T390" t="s">
        <v>155</v>
      </c>
      <c r="Y390">
        <v>20</v>
      </c>
      <c r="Z390" t="s">
        <v>155</v>
      </c>
      <c r="AC390" t="s">
        <v>155</v>
      </c>
      <c r="AF390">
        <v>7800</v>
      </c>
      <c r="AI390">
        <v>160</v>
      </c>
      <c r="AL390" t="s">
        <v>155</v>
      </c>
      <c r="AO390" t="s">
        <v>155</v>
      </c>
      <c r="AR390" t="s">
        <v>155</v>
      </c>
      <c r="AU390" t="s">
        <v>155</v>
      </c>
      <c r="AX390" t="s">
        <v>155</v>
      </c>
      <c r="BA390" t="s">
        <v>155</v>
      </c>
      <c r="BD390">
        <v>96</v>
      </c>
      <c r="BI390">
        <v>0.09</v>
      </c>
    </row>
    <row r="391" spans="1:61" ht="16" x14ac:dyDescent="0.2">
      <c r="A391" s="15" t="s">
        <v>1019</v>
      </c>
      <c r="B391" t="s">
        <v>1020</v>
      </c>
      <c r="C391" t="s">
        <v>1021</v>
      </c>
      <c r="D391" t="s">
        <v>1022</v>
      </c>
      <c r="E391" s="1" t="s">
        <v>168</v>
      </c>
      <c r="F391" s="1" t="s">
        <v>140</v>
      </c>
      <c r="G391" t="s">
        <v>1023</v>
      </c>
      <c r="H391" t="s">
        <v>155</v>
      </c>
      <c r="M391">
        <v>10</v>
      </c>
      <c r="P391">
        <v>100</v>
      </c>
      <c r="Q391" t="s">
        <v>155</v>
      </c>
      <c r="S391">
        <v>16</v>
      </c>
      <c r="T391" t="s">
        <v>155</v>
      </c>
      <c r="W391">
        <v>67</v>
      </c>
      <c r="Z391" t="s">
        <v>155</v>
      </c>
      <c r="AC391" t="s">
        <v>155</v>
      </c>
      <c r="AF391" t="s">
        <v>155</v>
      </c>
      <c r="AI391">
        <v>20</v>
      </c>
      <c r="AL391" t="s">
        <v>155</v>
      </c>
      <c r="AO391" t="s">
        <v>155</v>
      </c>
      <c r="AR391" t="s">
        <v>155</v>
      </c>
      <c r="AU391" t="s">
        <v>155</v>
      </c>
      <c r="AX391" t="s">
        <v>155</v>
      </c>
      <c r="BA391" t="s">
        <v>155</v>
      </c>
      <c r="BD391" t="s">
        <v>155</v>
      </c>
      <c r="BI391">
        <v>0.09</v>
      </c>
    </row>
    <row r="392" spans="1:61" ht="16" x14ac:dyDescent="0.2">
      <c r="A392" s="15" t="s">
        <v>1019</v>
      </c>
      <c r="B392" t="s">
        <v>1020</v>
      </c>
      <c r="C392" t="s">
        <v>1021</v>
      </c>
      <c r="D392" t="s">
        <v>1022</v>
      </c>
      <c r="E392" s="1" t="s">
        <v>168</v>
      </c>
      <c r="F392" s="1" t="s">
        <v>153</v>
      </c>
      <c r="G392" t="s">
        <v>1024</v>
      </c>
      <c r="H392" t="s">
        <v>155</v>
      </c>
      <c r="M392">
        <v>10</v>
      </c>
      <c r="P392">
        <v>50</v>
      </c>
      <c r="S392">
        <v>14</v>
      </c>
      <c r="T392" t="s">
        <v>155</v>
      </c>
      <c r="W392">
        <v>23</v>
      </c>
      <c r="Z392" t="s">
        <v>155</v>
      </c>
      <c r="AC392" t="s">
        <v>155</v>
      </c>
      <c r="AF392" t="s">
        <v>155</v>
      </c>
      <c r="AK392">
        <v>18</v>
      </c>
      <c r="AL392" t="s">
        <v>155</v>
      </c>
      <c r="AO392" t="s">
        <v>155</v>
      </c>
      <c r="AR392" t="s">
        <v>155</v>
      </c>
      <c r="AU392" t="s">
        <v>155</v>
      </c>
      <c r="AX392" t="s">
        <v>155</v>
      </c>
      <c r="BA392" t="s">
        <v>155</v>
      </c>
      <c r="BD392" t="s">
        <v>155</v>
      </c>
      <c r="BI392">
        <v>0.08</v>
      </c>
    </row>
    <row r="393" spans="1:61" x14ac:dyDescent="0.2">
      <c r="A393" t="s">
        <v>1025</v>
      </c>
      <c r="B393" t="s">
        <v>1026</v>
      </c>
      <c r="C393" t="s">
        <v>756</v>
      </c>
      <c r="D393" t="s">
        <v>661</v>
      </c>
      <c r="E393" s="1" t="s">
        <v>8</v>
      </c>
      <c r="F393" s="1" t="s">
        <v>141</v>
      </c>
      <c r="G393" t="s">
        <v>1027</v>
      </c>
      <c r="H393" t="s">
        <v>155</v>
      </c>
      <c r="K393">
        <v>1.5</v>
      </c>
      <c r="N393">
        <v>45</v>
      </c>
      <c r="S393">
        <v>5</v>
      </c>
      <c r="T393" t="s">
        <v>155</v>
      </c>
      <c r="W393">
        <v>17</v>
      </c>
      <c r="Z393" t="s">
        <v>155</v>
      </c>
      <c r="AC393">
        <v>22</v>
      </c>
      <c r="AF393" t="s">
        <v>155</v>
      </c>
      <c r="AK393">
        <v>11</v>
      </c>
      <c r="AL393" t="s">
        <v>155</v>
      </c>
      <c r="AO393" t="s">
        <v>155</v>
      </c>
      <c r="AR393">
        <v>14</v>
      </c>
      <c r="AU393" t="s">
        <v>155</v>
      </c>
      <c r="AX393" t="s">
        <v>155</v>
      </c>
      <c r="BA393" t="s">
        <v>155</v>
      </c>
      <c r="BD393">
        <v>30</v>
      </c>
      <c r="BI393">
        <v>0.13</v>
      </c>
    </row>
    <row r="394" spans="1:61" x14ac:dyDescent="0.2">
      <c r="A394" t="s">
        <v>1025</v>
      </c>
      <c r="B394" t="s">
        <v>1026</v>
      </c>
      <c r="C394" t="s">
        <v>756</v>
      </c>
      <c r="D394" t="s">
        <v>661</v>
      </c>
      <c r="E394" s="1" t="s">
        <v>8</v>
      </c>
      <c r="F394" s="1" t="s">
        <v>141</v>
      </c>
      <c r="G394" t="s">
        <v>1028</v>
      </c>
      <c r="H394" t="s">
        <v>155</v>
      </c>
      <c r="K394">
        <v>0.59</v>
      </c>
      <c r="N394">
        <v>44</v>
      </c>
      <c r="S394">
        <v>5</v>
      </c>
      <c r="T394" t="s">
        <v>155</v>
      </c>
      <c r="W394">
        <v>18</v>
      </c>
      <c r="Z394" t="s">
        <v>155</v>
      </c>
      <c r="AC394">
        <v>30</v>
      </c>
      <c r="AF394" t="s">
        <v>155</v>
      </c>
      <c r="AK394">
        <v>12</v>
      </c>
      <c r="AL394" t="s">
        <v>155</v>
      </c>
      <c r="AO394" t="s">
        <v>155</v>
      </c>
      <c r="AR394">
        <v>8</v>
      </c>
      <c r="AU394" t="s">
        <v>155</v>
      </c>
      <c r="AX394" t="s">
        <v>155</v>
      </c>
      <c r="BA394" t="s">
        <v>155</v>
      </c>
      <c r="BD394">
        <v>35</v>
      </c>
      <c r="BI394">
        <v>0.13</v>
      </c>
    </row>
    <row r="395" spans="1:61" x14ac:dyDescent="0.2">
      <c r="A395" t="s">
        <v>1025</v>
      </c>
      <c r="B395" t="s">
        <v>1026</v>
      </c>
      <c r="C395" t="s">
        <v>756</v>
      </c>
      <c r="D395" t="s">
        <v>661</v>
      </c>
      <c r="E395" s="1" t="s">
        <v>8</v>
      </c>
      <c r="F395" s="1" t="s">
        <v>140</v>
      </c>
      <c r="G395" t="s">
        <v>1029</v>
      </c>
      <c r="H395" t="s">
        <v>155</v>
      </c>
      <c r="K395" t="s">
        <v>155</v>
      </c>
      <c r="N395" t="s">
        <v>155</v>
      </c>
      <c r="Q395" t="s">
        <v>155</v>
      </c>
      <c r="T395" t="s">
        <v>155</v>
      </c>
      <c r="W395">
        <v>5.9</v>
      </c>
      <c r="Z395" t="s">
        <v>155</v>
      </c>
      <c r="AC395" t="s">
        <v>155</v>
      </c>
      <c r="AF395" t="s">
        <v>155</v>
      </c>
      <c r="AI395">
        <v>9</v>
      </c>
      <c r="AL395" t="s">
        <v>155</v>
      </c>
      <c r="AO395" t="s">
        <v>155</v>
      </c>
      <c r="AR395" t="s">
        <v>155</v>
      </c>
      <c r="AU395" t="s">
        <v>155</v>
      </c>
      <c r="AX395" t="s">
        <v>155</v>
      </c>
      <c r="BA395" t="s">
        <v>155</v>
      </c>
      <c r="BD395" t="s">
        <v>155</v>
      </c>
      <c r="BG395" t="s">
        <v>155</v>
      </c>
    </row>
    <row r="396" spans="1:61" ht="16" x14ac:dyDescent="0.2">
      <c r="A396" s="15" t="s">
        <v>1030</v>
      </c>
      <c r="B396" t="s">
        <v>1031</v>
      </c>
      <c r="C396" t="s">
        <v>1032</v>
      </c>
      <c r="D396" t="s">
        <v>275</v>
      </c>
      <c r="E396" s="1" t="s">
        <v>168</v>
      </c>
      <c r="F396" s="1" t="s">
        <v>140</v>
      </c>
      <c r="G396" t="s">
        <v>1008</v>
      </c>
      <c r="H396" t="s">
        <v>155</v>
      </c>
      <c r="K396">
        <v>2</v>
      </c>
      <c r="N396">
        <v>24</v>
      </c>
      <c r="S396">
        <v>2.4</v>
      </c>
      <c r="T396" t="s">
        <v>155</v>
      </c>
      <c r="W396">
        <v>27</v>
      </c>
      <c r="Z396" t="s">
        <v>155</v>
      </c>
      <c r="AC396" t="s">
        <v>155</v>
      </c>
      <c r="AF396" t="s">
        <v>155</v>
      </c>
      <c r="AI396">
        <v>11</v>
      </c>
      <c r="AL396" t="s">
        <v>155</v>
      </c>
      <c r="AO396" t="s">
        <v>155</v>
      </c>
      <c r="AR396" t="s">
        <v>155</v>
      </c>
      <c r="AU396" t="s">
        <v>155</v>
      </c>
      <c r="AX396" t="s">
        <v>155</v>
      </c>
      <c r="BA396" t="s">
        <v>155</v>
      </c>
      <c r="BD396" t="s">
        <v>155</v>
      </c>
      <c r="BI396">
        <v>0.11</v>
      </c>
    </row>
    <row r="397" spans="1:61" ht="16" x14ac:dyDescent="0.2">
      <c r="A397" s="15" t="s">
        <v>1033</v>
      </c>
      <c r="B397" t="s">
        <v>1034</v>
      </c>
      <c r="C397" t="s">
        <v>1035</v>
      </c>
      <c r="D397" t="s">
        <v>264</v>
      </c>
      <c r="E397" s="1" t="s">
        <v>168</v>
      </c>
      <c r="F397" s="1" t="s">
        <v>140</v>
      </c>
      <c r="G397" t="s">
        <v>1036</v>
      </c>
      <c r="H397" t="s">
        <v>155</v>
      </c>
      <c r="M397">
        <v>9</v>
      </c>
      <c r="N397">
        <v>21</v>
      </c>
      <c r="S397">
        <v>15</v>
      </c>
      <c r="T397" t="s">
        <v>155</v>
      </c>
      <c r="Y397">
        <v>38</v>
      </c>
      <c r="Z397" t="s">
        <v>155</v>
      </c>
      <c r="AC397">
        <v>19</v>
      </c>
      <c r="AF397" t="s">
        <v>155</v>
      </c>
      <c r="AI397">
        <v>58</v>
      </c>
      <c r="AL397" t="s">
        <v>155</v>
      </c>
      <c r="AO397" t="s">
        <v>155</v>
      </c>
      <c r="AR397">
        <v>9</v>
      </c>
      <c r="AU397" t="s">
        <v>155</v>
      </c>
      <c r="AX397" t="s">
        <v>155</v>
      </c>
      <c r="BA397" t="s">
        <v>155</v>
      </c>
      <c r="BD397" t="s">
        <v>155</v>
      </c>
      <c r="BI397">
        <v>0.09</v>
      </c>
    </row>
    <row r="398" spans="1:61" ht="16" x14ac:dyDescent="0.2">
      <c r="A398" s="15" t="s">
        <v>1033</v>
      </c>
      <c r="B398" t="s">
        <v>1034</v>
      </c>
      <c r="C398" t="s">
        <v>1035</v>
      </c>
      <c r="D398" t="s">
        <v>264</v>
      </c>
      <c r="E398" s="1" t="s">
        <v>168</v>
      </c>
      <c r="F398" s="1" t="s">
        <v>141</v>
      </c>
      <c r="G398" t="s">
        <v>1037</v>
      </c>
      <c r="H398" t="s">
        <v>155</v>
      </c>
      <c r="M398">
        <v>9</v>
      </c>
      <c r="N398">
        <v>15</v>
      </c>
      <c r="S398">
        <v>15</v>
      </c>
      <c r="T398" t="s">
        <v>155</v>
      </c>
      <c r="Y398">
        <v>38</v>
      </c>
      <c r="Z398" t="s">
        <v>155</v>
      </c>
      <c r="AE398">
        <v>9</v>
      </c>
      <c r="AF398" t="s">
        <v>155</v>
      </c>
      <c r="AI398">
        <v>19</v>
      </c>
      <c r="AL398" t="s">
        <v>155</v>
      </c>
      <c r="AO398" t="s">
        <v>155</v>
      </c>
      <c r="AT398">
        <v>9</v>
      </c>
      <c r="AU398" t="s">
        <v>155</v>
      </c>
      <c r="AX398" t="s">
        <v>155</v>
      </c>
      <c r="BA398" t="s">
        <v>155</v>
      </c>
      <c r="BD398" t="s">
        <v>155</v>
      </c>
      <c r="BI398">
        <v>0.09</v>
      </c>
    </row>
    <row r="399" spans="1:61" ht="16" x14ac:dyDescent="0.2">
      <c r="A399" s="15" t="s">
        <v>1033</v>
      </c>
      <c r="B399" t="s">
        <v>1034</v>
      </c>
      <c r="C399" t="s">
        <v>1035</v>
      </c>
      <c r="D399" t="s">
        <v>264</v>
      </c>
      <c r="E399" s="1" t="s">
        <v>168</v>
      </c>
      <c r="F399" s="1" t="s">
        <v>141</v>
      </c>
      <c r="G399" t="s">
        <v>1038</v>
      </c>
      <c r="H399" t="s">
        <v>155</v>
      </c>
      <c r="M399">
        <v>10</v>
      </c>
      <c r="N399">
        <v>8</v>
      </c>
      <c r="S399">
        <v>15</v>
      </c>
      <c r="T399" t="s">
        <v>155</v>
      </c>
      <c r="Y399">
        <v>38</v>
      </c>
      <c r="Z399" t="s">
        <v>155</v>
      </c>
      <c r="AE399">
        <v>10</v>
      </c>
      <c r="AF399" t="s">
        <v>155</v>
      </c>
      <c r="AI399">
        <v>19</v>
      </c>
      <c r="AL399" t="s">
        <v>155</v>
      </c>
      <c r="AO399" t="s">
        <v>155</v>
      </c>
      <c r="AT399">
        <v>10</v>
      </c>
      <c r="AU399" t="s">
        <v>155</v>
      </c>
      <c r="AX399" t="s">
        <v>155</v>
      </c>
      <c r="BA399" t="s">
        <v>155</v>
      </c>
      <c r="BD399" t="s">
        <v>155</v>
      </c>
      <c r="BI399">
        <v>0.09</v>
      </c>
    </row>
    <row r="400" spans="1:61" ht="16" x14ac:dyDescent="0.2">
      <c r="A400" s="15" t="s">
        <v>1039</v>
      </c>
      <c r="B400" t="s">
        <v>1040</v>
      </c>
      <c r="C400" t="s">
        <v>1041</v>
      </c>
      <c r="D400" t="s">
        <v>379</v>
      </c>
      <c r="E400" s="1" t="s">
        <v>168</v>
      </c>
      <c r="F400" s="1" t="s">
        <v>140</v>
      </c>
      <c r="G400" t="s">
        <v>1042</v>
      </c>
      <c r="H400" t="s">
        <v>155</v>
      </c>
      <c r="M400">
        <v>2</v>
      </c>
      <c r="N400">
        <v>100</v>
      </c>
      <c r="S400">
        <v>9.8000000000000007</v>
      </c>
      <c r="T400" t="s">
        <v>155</v>
      </c>
      <c r="W400">
        <v>31</v>
      </c>
      <c r="Z400" t="s">
        <v>155</v>
      </c>
      <c r="AC400" t="s">
        <v>155</v>
      </c>
      <c r="AF400" t="s">
        <v>155</v>
      </c>
      <c r="AK400">
        <v>20</v>
      </c>
      <c r="AL400" t="s">
        <v>155</v>
      </c>
      <c r="AO400" t="s">
        <v>155</v>
      </c>
      <c r="AR400" t="s">
        <v>155</v>
      </c>
      <c r="AU400" t="s">
        <v>155</v>
      </c>
      <c r="AX400" t="s">
        <v>155</v>
      </c>
      <c r="BA400" t="s">
        <v>155</v>
      </c>
      <c r="BD400">
        <v>53</v>
      </c>
      <c r="BI400">
        <v>0.1</v>
      </c>
    </row>
    <row r="401" spans="1:61" ht="16" x14ac:dyDescent="0.2">
      <c r="A401" s="15" t="s">
        <v>1043</v>
      </c>
      <c r="B401" t="s">
        <v>1044</v>
      </c>
      <c r="C401" t="s">
        <v>291</v>
      </c>
      <c r="D401" t="s">
        <v>292</v>
      </c>
      <c r="E401" s="1" t="s">
        <v>8</v>
      </c>
      <c r="F401" s="1" t="s">
        <v>141</v>
      </c>
      <c r="G401" t="s">
        <v>1045</v>
      </c>
      <c r="H401" t="s">
        <v>155</v>
      </c>
      <c r="K401" t="s">
        <v>155</v>
      </c>
      <c r="N401" t="s">
        <v>155</v>
      </c>
      <c r="Q401" t="s">
        <v>155</v>
      </c>
      <c r="T401" t="s">
        <v>155</v>
      </c>
      <c r="W401">
        <v>1.8</v>
      </c>
      <c r="Z401" t="s">
        <v>155</v>
      </c>
      <c r="AE401">
        <v>0.6</v>
      </c>
      <c r="AF401">
        <v>1300</v>
      </c>
      <c r="AI401">
        <v>1.5</v>
      </c>
      <c r="AL401" t="s">
        <v>155</v>
      </c>
      <c r="AO401">
        <v>3.3</v>
      </c>
      <c r="AR401">
        <v>0.73</v>
      </c>
      <c r="AU401" t="s">
        <v>155</v>
      </c>
      <c r="AX401" t="s">
        <v>155</v>
      </c>
      <c r="BA401" t="s">
        <v>155</v>
      </c>
      <c r="BF401">
        <v>2.4</v>
      </c>
      <c r="BG401" t="s">
        <v>155</v>
      </c>
    </row>
    <row r="402" spans="1:61" ht="16" x14ac:dyDescent="0.2">
      <c r="A402" s="15" t="s">
        <v>1043</v>
      </c>
      <c r="B402" t="s">
        <v>1044</v>
      </c>
      <c r="C402" t="s">
        <v>291</v>
      </c>
      <c r="D402" t="s">
        <v>292</v>
      </c>
      <c r="E402" s="1" t="s">
        <v>8</v>
      </c>
      <c r="F402" s="1" t="s">
        <v>141</v>
      </c>
      <c r="G402" t="s">
        <v>1046</v>
      </c>
      <c r="H402" t="s">
        <v>155</v>
      </c>
      <c r="K402" t="s">
        <v>155</v>
      </c>
      <c r="N402" t="s">
        <v>155</v>
      </c>
      <c r="Q402" t="s">
        <v>155</v>
      </c>
      <c r="T402" t="s">
        <v>155</v>
      </c>
      <c r="W402" t="s">
        <v>155</v>
      </c>
      <c r="Z402" t="s">
        <v>155</v>
      </c>
      <c r="AC402" t="s">
        <v>155</v>
      </c>
      <c r="AH402">
        <v>28</v>
      </c>
      <c r="AI402">
        <v>0.6</v>
      </c>
      <c r="AL402" t="s">
        <v>155</v>
      </c>
      <c r="AQ402">
        <v>1.1000000000000001</v>
      </c>
      <c r="AR402" t="s">
        <v>155</v>
      </c>
      <c r="AU402" t="s">
        <v>155</v>
      </c>
      <c r="AX402" t="s">
        <v>155</v>
      </c>
      <c r="BA402" t="s">
        <v>155</v>
      </c>
      <c r="BD402" t="s">
        <v>155</v>
      </c>
      <c r="BG402" t="s">
        <v>155</v>
      </c>
    </row>
    <row r="403" spans="1:61" ht="16" x14ac:dyDescent="0.2">
      <c r="A403" s="15" t="s">
        <v>1043</v>
      </c>
      <c r="B403" t="s">
        <v>1044</v>
      </c>
      <c r="C403" t="s">
        <v>291</v>
      </c>
      <c r="D403" t="s">
        <v>292</v>
      </c>
      <c r="E403" s="1" t="s">
        <v>8</v>
      </c>
      <c r="F403" s="1" t="s">
        <v>141</v>
      </c>
      <c r="G403" t="s">
        <v>1047</v>
      </c>
      <c r="H403" t="s">
        <v>155</v>
      </c>
      <c r="K403" t="s">
        <v>155</v>
      </c>
      <c r="N403" t="s">
        <v>155</v>
      </c>
      <c r="Q403" t="s">
        <v>155</v>
      </c>
      <c r="T403" t="s">
        <v>155</v>
      </c>
      <c r="W403">
        <v>0.69</v>
      </c>
      <c r="Z403" t="s">
        <v>155</v>
      </c>
      <c r="AC403" t="s">
        <v>155</v>
      </c>
      <c r="AF403">
        <v>410</v>
      </c>
      <c r="AI403">
        <v>0.93</v>
      </c>
      <c r="AL403" t="s">
        <v>155</v>
      </c>
      <c r="AO403">
        <v>2.4</v>
      </c>
      <c r="AT403">
        <v>0.56999999999999995</v>
      </c>
      <c r="AU403" t="s">
        <v>155</v>
      </c>
      <c r="AX403" t="s">
        <v>155</v>
      </c>
      <c r="BA403" t="s">
        <v>155</v>
      </c>
      <c r="BF403">
        <v>2.2999999999999998</v>
      </c>
      <c r="BG403" t="s">
        <v>155</v>
      </c>
    </row>
    <row r="404" spans="1:61" ht="16" x14ac:dyDescent="0.2">
      <c r="A404" s="15" t="s">
        <v>1048</v>
      </c>
      <c r="B404" t="s">
        <v>1049</v>
      </c>
      <c r="C404" t="s">
        <v>180</v>
      </c>
      <c r="D404" t="s">
        <v>135</v>
      </c>
      <c r="E404" s="1" t="s">
        <v>8</v>
      </c>
      <c r="F404" s="1" t="s">
        <v>153</v>
      </c>
      <c r="G404" t="s">
        <v>1050</v>
      </c>
      <c r="H404">
        <v>47000</v>
      </c>
      <c r="K404">
        <v>1</v>
      </c>
      <c r="N404">
        <v>76.3</v>
      </c>
      <c r="Q404" t="s">
        <v>155</v>
      </c>
      <c r="T404">
        <v>1920</v>
      </c>
      <c r="X404" s="16">
        <f>(14.9*1.29)</f>
        <v>19.221</v>
      </c>
      <c r="Z404">
        <v>4.0999999999999996</v>
      </c>
      <c r="AC404">
        <v>9.1</v>
      </c>
      <c r="AF404">
        <v>3120</v>
      </c>
      <c r="AJ404" s="16">
        <f>(5*1.44)</f>
        <v>7.1999999999999993</v>
      </c>
      <c r="AL404">
        <v>446</v>
      </c>
      <c r="AP404" s="16">
        <f>(80.7*1.24)</f>
        <v>100.068</v>
      </c>
      <c r="AR404">
        <v>3.7</v>
      </c>
      <c r="AU404">
        <v>118</v>
      </c>
      <c r="AX404">
        <v>36.299999999999997</v>
      </c>
      <c r="BA404">
        <v>22</v>
      </c>
      <c r="BD404">
        <v>7.5</v>
      </c>
      <c r="BG404" t="s">
        <v>155</v>
      </c>
    </row>
    <row r="405" spans="1:61" ht="16" x14ac:dyDescent="0.2">
      <c r="A405" s="15" t="s">
        <v>1048</v>
      </c>
      <c r="B405" t="s">
        <v>1049</v>
      </c>
      <c r="C405" t="s">
        <v>180</v>
      </c>
      <c r="D405" t="s">
        <v>135</v>
      </c>
      <c r="E405" s="1" t="s">
        <v>8</v>
      </c>
      <c r="F405" s="1" t="s">
        <v>140</v>
      </c>
      <c r="G405" t="s">
        <v>1051</v>
      </c>
      <c r="H405">
        <v>14700</v>
      </c>
      <c r="K405">
        <v>1</v>
      </c>
      <c r="N405">
        <v>76.3</v>
      </c>
      <c r="Q405" t="s">
        <v>155</v>
      </c>
      <c r="T405">
        <v>1920</v>
      </c>
      <c r="X405" s="16">
        <f>(81.5*1.29)</f>
        <v>105.13500000000001</v>
      </c>
      <c r="Z405">
        <v>20.3</v>
      </c>
      <c r="AC405">
        <v>33.4</v>
      </c>
      <c r="AF405">
        <v>21400</v>
      </c>
      <c r="AJ405" s="16">
        <f>(6.4*1.44)</f>
        <v>9.2159999999999993</v>
      </c>
      <c r="AL405">
        <v>9620</v>
      </c>
      <c r="AP405" s="16">
        <f>(411*1.24)</f>
        <v>509.64</v>
      </c>
      <c r="AR405">
        <v>38.5</v>
      </c>
      <c r="AU405">
        <v>833</v>
      </c>
      <c r="AX405">
        <v>89.6</v>
      </c>
      <c r="BA405">
        <v>54.5</v>
      </c>
      <c r="BD405">
        <v>38.700000000000003</v>
      </c>
      <c r="BG405" t="s">
        <v>155</v>
      </c>
    </row>
    <row r="406" spans="1:61" ht="16" x14ac:dyDescent="0.2">
      <c r="A406" s="15" t="s">
        <v>595</v>
      </c>
      <c r="B406" t="s">
        <v>1052</v>
      </c>
      <c r="C406" t="s">
        <v>597</v>
      </c>
      <c r="D406" t="s">
        <v>280</v>
      </c>
      <c r="E406" s="1" t="s">
        <v>168</v>
      </c>
      <c r="F406" s="1" t="s">
        <v>140</v>
      </c>
      <c r="G406" t="s">
        <v>1053</v>
      </c>
      <c r="H406" t="s">
        <v>155</v>
      </c>
      <c r="M406">
        <v>0.5</v>
      </c>
      <c r="N406">
        <v>14</v>
      </c>
      <c r="S406">
        <v>2.2999999999999998</v>
      </c>
      <c r="T406" t="s">
        <v>155</v>
      </c>
      <c r="W406" t="s">
        <v>155</v>
      </c>
      <c r="Z406" t="s">
        <v>155</v>
      </c>
      <c r="AC406" t="s">
        <v>155</v>
      </c>
      <c r="AF406" t="s">
        <v>155</v>
      </c>
      <c r="AI406">
        <v>14</v>
      </c>
      <c r="AL406" t="s">
        <v>155</v>
      </c>
      <c r="AO406" t="s">
        <v>155</v>
      </c>
      <c r="AR406" t="s">
        <v>155</v>
      </c>
      <c r="AU406" t="s">
        <v>155</v>
      </c>
      <c r="AX406" t="s">
        <v>155</v>
      </c>
      <c r="BA406" t="s">
        <v>155</v>
      </c>
      <c r="BD406" t="s">
        <v>155</v>
      </c>
      <c r="BI406">
        <v>0.1</v>
      </c>
    </row>
    <row r="407" spans="1:61" ht="16" x14ac:dyDescent="0.2">
      <c r="A407" s="15" t="s">
        <v>1054</v>
      </c>
      <c r="B407" t="s">
        <v>1055</v>
      </c>
      <c r="C407" t="s">
        <v>180</v>
      </c>
      <c r="D407" t="s">
        <v>135</v>
      </c>
      <c r="E407" s="1" t="s">
        <v>8</v>
      </c>
      <c r="F407" s="1" t="s">
        <v>140</v>
      </c>
      <c r="G407" t="s">
        <v>1056</v>
      </c>
      <c r="H407" t="s">
        <v>155</v>
      </c>
      <c r="K407" t="s">
        <v>155</v>
      </c>
      <c r="N407" t="s">
        <v>155</v>
      </c>
      <c r="Q407" t="s">
        <v>155</v>
      </c>
      <c r="T407" t="s">
        <v>155</v>
      </c>
      <c r="W407" t="s">
        <v>155</v>
      </c>
      <c r="Z407" t="s">
        <v>155</v>
      </c>
      <c r="AC407" t="s">
        <v>155</v>
      </c>
      <c r="AF407" t="s">
        <v>155</v>
      </c>
      <c r="AI407">
        <v>15</v>
      </c>
      <c r="AL407" t="s">
        <v>155</v>
      </c>
      <c r="AO407" t="s">
        <v>155</v>
      </c>
      <c r="AR407" t="s">
        <v>155</v>
      </c>
      <c r="AU407" t="s">
        <v>155</v>
      </c>
      <c r="AX407" t="s">
        <v>155</v>
      </c>
      <c r="BA407" t="s">
        <v>155</v>
      </c>
      <c r="BD407" t="s">
        <v>155</v>
      </c>
      <c r="BG407" t="s">
        <v>155</v>
      </c>
    </row>
    <row r="408" spans="1:61" ht="16" x14ac:dyDescent="0.2">
      <c r="A408" s="15" t="s">
        <v>1054</v>
      </c>
      <c r="B408" t="s">
        <v>1055</v>
      </c>
      <c r="C408" t="s">
        <v>180</v>
      </c>
      <c r="D408" t="s">
        <v>135</v>
      </c>
      <c r="E408" s="1" t="s">
        <v>8</v>
      </c>
      <c r="F408" s="1" t="s">
        <v>140</v>
      </c>
      <c r="G408" t="s">
        <v>1057</v>
      </c>
      <c r="H408" t="s">
        <v>155</v>
      </c>
      <c r="K408" t="s">
        <v>155</v>
      </c>
      <c r="N408" t="s">
        <v>155</v>
      </c>
      <c r="Q408" t="s">
        <v>155</v>
      </c>
      <c r="T408" t="s">
        <v>155</v>
      </c>
      <c r="W408" t="s">
        <v>155</v>
      </c>
      <c r="Z408" t="s">
        <v>155</v>
      </c>
      <c r="AC408" t="s">
        <v>155</v>
      </c>
      <c r="AF408" t="s">
        <v>155</v>
      </c>
      <c r="AI408">
        <v>10</v>
      </c>
      <c r="AL408" t="s">
        <v>155</v>
      </c>
      <c r="AO408" t="s">
        <v>155</v>
      </c>
      <c r="AR408" t="s">
        <v>155</v>
      </c>
      <c r="AU408" t="s">
        <v>155</v>
      </c>
      <c r="AX408" t="s">
        <v>155</v>
      </c>
      <c r="BA408" t="s">
        <v>155</v>
      </c>
      <c r="BD408" t="s">
        <v>155</v>
      </c>
      <c r="BG408" t="s">
        <v>155</v>
      </c>
    </row>
    <row r="409" spans="1:61" ht="16" x14ac:dyDescent="0.2">
      <c r="A409" s="15" t="s">
        <v>1054</v>
      </c>
      <c r="B409" t="s">
        <v>1055</v>
      </c>
      <c r="C409" t="s">
        <v>180</v>
      </c>
      <c r="D409" t="s">
        <v>135</v>
      </c>
      <c r="E409" s="1" t="s">
        <v>8</v>
      </c>
      <c r="F409" s="1" t="s">
        <v>140</v>
      </c>
      <c r="G409" t="s">
        <v>1058</v>
      </c>
      <c r="H409" t="s">
        <v>155</v>
      </c>
      <c r="K409" t="s">
        <v>155</v>
      </c>
      <c r="N409" t="s">
        <v>155</v>
      </c>
      <c r="Q409" t="s">
        <v>155</v>
      </c>
      <c r="T409" t="s">
        <v>155</v>
      </c>
      <c r="W409" t="s">
        <v>155</v>
      </c>
      <c r="Z409" t="s">
        <v>155</v>
      </c>
      <c r="AC409" t="s">
        <v>155</v>
      </c>
      <c r="AF409" t="s">
        <v>155</v>
      </c>
      <c r="AI409">
        <v>18</v>
      </c>
      <c r="AL409" t="s">
        <v>155</v>
      </c>
      <c r="AO409" t="s">
        <v>155</v>
      </c>
      <c r="AR409" t="s">
        <v>155</v>
      </c>
      <c r="AU409" t="s">
        <v>155</v>
      </c>
      <c r="AX409" t="s">
        <v>155</v>
      </c>
      <c r="BA409" t="s">
        <v>155</v>
      </c>
      <c r="BD409" t="s">
        <v>155</v>
      </c>
      <c r="BG409" t="s">
        <v>155</v>
      </c>
    </row>
    <row r="410" spans="1:61" ht="16" x14ac:dyDescent="0.2">
      <c r="A410" s="15" t="s">
        <v>1054</v>
      </c>
      <c r="B410" t="s">
        <v>1055</v>
      </c>
      <c r="C410" t="s">
        <v>180</v>
      </c>
      <c r="D410" t="s">
        <v>135</v>
      </c>
      <c r="E410" s="1" t="s">
        <v>8</v>
      </c>
      <c r="F410" s="1" t="s">
        <v>140</v>
      </c>
      <c r="G410" t="s">
        <v>1059</v>
      </c>
      <c r="H410" t="s">
        <v>155</v>
      </c>
      <c r="K410" t="s">
        <v>155</v>
      </c>
      <c r="N410" t="s">
        <v>155</v>
      </c>
      <c r="Q410" t="s">
        <v>155</v>
      </c>
      <c r="T410" t="s">
        <v>155</v>
      </c>
      <c r="W410" t="s">
        <v>155</v>
      </c>
      <c r="Z410" t="s">
        <v>155</v>
      </c>
      <c r="AC410" t="s">
        <v>155</v>
      </c>
      <c r="AF410" t="s">
        <v>155</v>
      </c>
      <c r="AI410">
        <v>12</v>
      </c>
      <c r="AL410" t="s">
        <v>155</v>
      </c>
      <c r="AO410" t="s">
        <v>155</v>
      </c>
      <c r="AR410" t="s">
        <v>155</v>
      </c>
      <c r="AU410" t="s">
        <v>155</v>
      </c>
      <c r="AX410" t="s">
        <v>155</v>
      </c>
      <c r="BA410" t="s">
        <v>155</v>
      </c>
      <c r="BD410" t="s">
        <v>155</v>
      </c>
      <c r="BG410" t="s">
        <v>155</v>
      </c>
    </row>
    <row r="411" spans="1:61" ht="16" x14ac:dyDescent="0.2">
      <c r="A411" s="15" t="s">
        <v>1054</v>
      </c>
      <c r="B411" t="s">
        <v>1055</v>
      </c>
      <c r="C411" t="s">
        <v>180</v>
      </c>
      <c r="D411" t="s">
        <v>135</v>
      </c>
      <c r="E411" s="1" t="s">
        <v>8</v>
      </c>
      <c r="F411" s="1" t="s">
        <v>153</v>
      </c>
      <c r="G411" t="s">
        <v>1060</v>
      </c>
      <c r="H411" t="s">
        <v>155</v>
      </c>
      <c r="M411">
        <v>2</v>
      </c>
      <c r="N411" t="s">
        <v>155</v>
      </c>
      <c r="S411">
        <v>10</v>
      </c>
      <c r="T411" t="s">
        <v>155</v>
      </c>
      <c r="W411">
        <v>12</v>
      </c>
      <c r="Z411" t="s">
        <v>155</v>
      </c>
      <c r="AC411" t="s">
        <v>155</v>
      </c>
      <c r="AF411" t="s">
        <v>155</v>
      </c>
      <c r="AK411">
        <v>20</v>
      </c>
      <c r="AL411" t="s">
        <v>155</v>
      </c>
      <c r="AO411" t="s">
        <v>155</v>
      </c>
      <c r="AR411" t="s">
        <v>155</v>
      </c>
      <c r="AU411" t="s">
        <v>155</v>
      </c>
      <c r="AX411" t="s">
        <v>155</v>
      </c>
      <c r="BA411" t="s">
        <v>155</v>
      </c>
      <c r="BD411" t="s">
        <v>155</v>
      </c>
      <c r="BI411">
        <v>0.1</v>
      </c>
    </row>
    <row r="412" spans="1:61" ht="16" x14ac:dyDescent="0.2">
      <c r="A412" s="15" t="s">
        <v>1054</v>
      </c>
      <c r="B412" t="s">
        <v>1055</v>
      </c>
      <c r="C412" t="s">
        <v>180</v>
      </c>
      <c r="D412" t="s">
        <v>135</v>
      </c>
      <c r="E412" s="1" t="s">
        <v>8</v>
      </c>
      <c r="F412" s="1" t="s">
        <v>153</v>
      </c>
      <c r="G412" t="s">
        <v>1061</v>
      </c>
      <c r="H412" t="s">
        <v>155</v>
      </c>
      <c r="M412">
        <v>2</v>
      </c>
      <c r="N412" t="s">
        <v>155</v>
      </c>
      <c r="S412">
        <v>10</v>
      </c>
      <c r="T412" t="s">
        <v>155</v>
      </c>
      <c r="W412">
        <v>14</v>
      </c>
      <c r="Z412" t="s">
        <v>155</v>
      </c>
      <c r="AC412" t="s">
        <v>155</v>
      </c>
      <c r="AF412" t="s">
        <v>155</v>
      </c>
      <c r="AK412">
        <v>20</v>
      </c>
      <c r="AL412" t="s">
        <v>155</v>
      </c>
      <c r="AO412" t="s">
        <v>155</v>
      </c>
      <c r="AR412" t="s">
        <v>155</v>
      </c>
      <c r="AU412" t="s">
        <v>155</v>
      </c>
      <c r="AX412" t="s">
        <v>155</v>
      </c>
      <c r="BA412" t="s">
        <v>155</v>
      </c>
      <c r="BD412" t="s">
        <v>155</v>
      </c>
      <c r="BI412">
        <v>0.1</v>
      </c>
    </row>
    <row r="413" spans="1:61" ht="16" x14ac:dyDescent="0.2">
      <c r="A413" s="15" t="s">
        <v>1062</v>
      </c>
      <c r="B413" t="s">
        <v>1063</v>
      </c>
      <c r="C413" t="s">
        <v>531</v>
      </c>
      <c r="D413" t="s">
        <v>532</v>
      </c>
      <c r="E413" s="1" t="s">
        <v>8</v>
      </c>
      <c r="F413" s="1" t="s">
        <v>140</v>
      </c>
      <c r="G413" t="s">
        <v>1064</v>
      </c>
      <c r="H413">
        <v>4220</v>
      </c>
      <c r="L413" s="16">
        <f>(1.4*1.74)</f>
        <v>2.4359999999999999</v>
      </c>
      <c r="N413">
        <v>11.5</v>
      </c>
      <c r="S413">
        <v>0.61</v>
      </c>
      <c r="T413">
        <v>172</v>
      </c>
      <c r="Y413">
        <v>9</v>
      </c>
      <c r="AB413">
        <v>0.81</v>
      </c>
      <c r="AE413">
        <v>5</v>
      </c>
      <c r="AF413">
        <v>6680</v>
      </c>
      <c r="AI413">
        <v>9.3000000000000007</v>
      </c>
      <c r="AL413">
        <v>102</v>
      </c>
      <c r="AO413">
        <v>58.1</v>
      </c>
      <c r="AR413">
        <v>1.5</v>
      </c>
      <c r="AU413">
        <v>105</v>
      </c>
      <c r="AX413" t="s">
        <v>155</v>
      </c>
      <c r="BA413">
        <v>17.8</v>
      </c>
      <c r="BD413" t="s">
        <v>155</v>
      </c>
      <c r="BG413" t="s">
        <v>155</v>
      </c>
    </row>
    <row r="414" spans="1:61" x14ac:dyDescent="0.2">
      <c r="A414" s="10" t="s">
        <v>1065</v>
      </c>
      <c r="B414" s="10" t="s">
        <v>1066</v>
      </c>
      <c r="C414" s="10" t="s">
        <v>1067</v>
      </c>
      <c r="D414" s="10" t="s">
        <v>1068</v>
      </c>
      <c r="E414" s="11"/>
      <c r="F414" s="11" t="s">
        <v>140</v>
      </c>
      <c r="G414" s="10" t="s">
        <v>1069</v>
      </c>
      <c r="I414" s="16">
        <f>(65000*1.66)</f>
        <v>107900</v>
      </c>
      <c r="L414" s="16">
        <f>(11*1.74)</f>
        <v>19.14</v>
      </c>
      <c r="N414">
        <v>300</v>
      </c>
      <c r="S414">
        <v>1.1000000000000001</v>
      </c>
      <c r="T414">
        <v>2700</v>
      </c>
      <c r="X414" s="16">
        <f>(77*1.29)</f>
        <v>99.33</v>
      </c>
      <c r="Z414">
        <v>34</v>
      </c>
      <c r="AC414">
        <v>75</v>
      </c>
      <c r="AG414" s="16">
        <f>(67000*1.34)</f>
        <v>89780</v>
      </c>
      <c r="AJ414" s="16">
        <f>(23*1.44)</f>
        <v>33.119999999999997</v>
      </c>
      <c r="AL414">
        <v>17000</v>
      </c>
      <c r="AO414">
        <v>1500</v>
      </c>
      <c r="AR414">
        <v>43</v>
      </c>
      <c r="AU414">
        <v>9200</v>
      </c>
      <c r="AZ414">
        <v>410</v>
      </c>
      <c r="BB414" s="16">
        <f>(170*1.34)</f>
        <v>227.8</v>
      </c>
      <c r="BD414">
        <v>120</v>
      </c>
      <c r="BI414">
        <v>0.3</v>
      </c>
    </row>
    <row r="415" spans="1:61" x14ac:dyDescent="0.2">
      <c r="A415" t="s">
        <v>1065</v>
      </c>
      <c r="B415" t="s">
        <v>1066</v>
      </c>
      <c r="C415" t="s">
        <v>1067</v>
      </c>
      <c r="D415" t="s">
        <v>1068</v>
      </c>
      <c r="F415" s="1" t="s">
        <v>153</v>
      </c>
      <c r="G415" t="s">
        <v>1070</v>
      </c>
      <c r="H415" t="s">
        <v>155</v>
      </c>
      <c r="M415">
        <v>0.01</v>
      </c>
      <c r="N415">
        <v>0.96</v>
      </c>
      <c r="S415">
        <v>0.08</v>
      </c>
      <c r="T415" t="s">
        <v>155</v>
      </c>
      <c r="Y415">
        <v>0.1</v>
      </c>
      <c r="Z415" t="s">
        <v>155</v>
      </c>
      <c r="AC415" t="s">
        <v>155</v>
      </c>
      <c r="AF415" t="s">
        <v>155</v>
      </c>
      <c r="AK415">
        <v>0.5</v>
      </c>
      <c r="AL415" t="s">
        <v>155</v>
      </c>
      <c r="AO415" t="s">
        <v>155</v>
      </c>
      <c r="AR415" t="s">
        <v>155</v>
      </c>
      <c r="AU415" t="s">
        <v>155</v>
      </c>
      <c r="AX415" t="s">
        <v>155</v>
      </c>
      <c r="BA415" t="s">
        <v>155</v>
      </c>
      <c r="BD415" t="s">
        <v>155</v>
      </c>
      <c r="BI415">
        <v>0.02</v>
      </c>
    </row>
    <row r="416" spans="1:61" x14ac:dyDescent="0.2">
      <c r="A416" t="s">
        <v>1071</v>
      </c>
      <c r="B416" t="s">
        <v>1072</v>
      </c>
      <c r="C416" t="s">
        <v>1073</v>
      </c>
      <c r="D416" t="s">
        <v>372</v>
      </c>
      <c r="F416" s="1" t="s">
        <v>140</v>
      </c>
      <c r="G416" t="s">
        <v>744</v>
      </c>
      <c r="H416" t="s">
        <v>155</v>
      </c>
      <c r="K416">
        <v>2.0499999999999998</v>
      </c>
      <c r="P416">
        <v>12.5</v>
      </c>
      <c r="S416">
        <v>0.25</v>
      </c>
      <c r="T416" t="s">
        <v>155</v>
      </c>
      <c r="W416">
        <v>7.2</v>
      </c>
      <c r="Z416" t="s">
        <v>155</v>
      </c>
      <c r="AC416" t="s">
        <v>155</v>
      </c>
      <c r="AF416" t="s">
        <v>155</v>
      </c>
      <c r="AK416">
        <v>1.25</v>
      </c>
      <c r="AL416" t="s">
        <v>155</v>
      </c>
      <c r="AO416" t="s">
        <v>155</v>
      </c>
      <c r="AR416" t="s">
        <v>155</v>
      </c>
      <c r="AU416" t="s">
        <v>155</v>
      </c>
      <c r="AX416" t="s">
        <v>155</v>
      </c>
      <c r="BA416" t="s">
        <v>155</v>
      </c>
      <c r="BD416" t="s">
        <v>155</v>
      </c>
      <c r="BI416">
        <v>0.25</v>
      </c>
    </row>
    <row r="417" spans="1:61" ht="16" x14ac:dyDescent="0.2">
      <c r="A417" s="15" t="s">
        <v>1074</v>
      </c>
      <c r="B417" t="s">
        <v>1075</v>
      </c>
      <c r="C417" t="s">
        <v>1076</v>
      </c>
      <c r="D417" t="s">
        <v>127</v>
      </c>
      <c r="F417" s="1" t="s">
        <v>153</v>
      </c>
      <c r="G417" t="s">
        <v>1077</v>
      </c>
      <c r="H417">
        <v>14000</v>
      </c>
      <c r="K417">
        <v>16</v>
      </c>
      <c r="N417" t="s">
        <v>155</v>
      </c>
      <c r="Q417" t="s">
        <v>155</v>
      </c>
      <c r="T417">
        <v>870</v>
      </c>
      <c r="W417">
        <v>15</v>
      </c>
      <c r="Z417" t="s">
        <v>155</v>
      </c>
      <c r="AC417">
        <v>60</v>
      </c>
      <c r="AF417">
        <v>15000</v>
      </c>
      <c r="AI417">
        <v>190</v>
      </c>
      <c r="AL417">
        <v>640</v>
      </c>
      <c r="AO417">
        <v>28</v>
      </c>
      <c r="AR417" t="s">
        <v>155</v>
      </c>
      <c r="AU417" t="s">
        <v>155</v>
      </c>
      <c r="AX417" t="s">
        <v>155</v>
      </c>
      <c r="BA417">
        <v>21</v>
      </c>
      <c r="BD417">
        <v>130</v>
      </c>
      <c r="BG417">
        <v>0.6</v>
      </c>
    </row>
    <row r="418" spans="1:61" ht="16" x14ac:dyDescent="0.2">
      <c r="A418" s="15" t="s">
        <v>1074</v>
      </c>
      <c r="B418" t="s">
        <v>1075</v>
      </c>
      <c r="C418" t="s">
        <v>1076</v>
      </c>
      <c r="D418" t="s">
        <v>127</v>
      </c>
      <c r="F418" s="1" t="s">
        <v>140</v>
      </c>
      <c r="G418" t="s">
        <v>1078</v>
      </c>
      <c r="H418">
        <v>3500</v>
      </c>
      <c r="K418" t="s">
        <v>155</v>
      </c>
      <c r="N418">
        <v>20</v>
      </c>
      <c r="S418">
        <v>0.63</v>
      </c>
      <c r="U418" s="16">
        <f>(2000*1.28)</f>
        <v>2560</v>
      </c>
      <c r="W418">
        <v>4.9000000000000004</v>
      </c>
      <c r="AB418">
        <v>0.7</v>
      </c>
      <c r="AE418">
        <v>3</v>
      </c>
      <c r="AF418">
        <v>3500</v>
      </c>
      <c r="AI418">
        <v>20</v>
      </c>
      <c r="AL418">
        <v>170</v>
      </c>
      <c r="AO418">
        <v>25</v>
      </c>
      <c r="AT418">
        <v>5.9</v>
      </c>
      <c r="AW418">
        <v>270</v>
      </c>
      <c r="AZ418">
        <v>220</v>
      </c>
      <c r="BA418">
        <v>23</v>
      </c>
      <c r="BF418">
        <v>30</v>
      </c>
      <c r="BG418">
        <v>0.11</v>
      </c>
    </row>
    <row r="419" spans="1:61" ht="16" x14ac:dyDescent="0.2">
      <c r="A419" s="15" t="s">
        <v>1074</v>
      </c>
      <c r="B419" t="s">
        <v>1075</v>
      </c>
      <c r="C419" t="s">
        <v>1076</v>
      </c>
      <c r="D419" t="s">
        <v>127</v>
      </c>
      <c r="F419" s="1" t="s">
        <v>153</v>
      </c>
      <c r="G419" t="s">
        <v>1079</v>
      </c>
      <c r="H419">
        <v>22000</v>
      </c>
      <c r="K419" t="s">
        <v>155</v>
      </c>
      <c r="N419">
        <v>130</v>
      </c>
      <c r="S419">
        <v>0.91</v>
      </c>
      <c r="U419" s="16">
        <f>(12000*1.28)</f>
        <v>15360</v>
      </c>
      <c r="W419">
        <v>27</v>
      </c>
      <c r="Z419">
        <v>17</v>
      </c>
      <c r="AE419">
        <v>20</v>
      </c>
      <c r="AF419">
        <v>25000</v>
      </c>
      <c r="AI419">
        <v>12</v>
      </c>
      <c r="AL419">
        <v>29000</v>
      </c>
      <c r="AO419">
        <v>1400</v>
      </c>
      <c r="AR419">
        <v>12</v>
      </c>
      <c r="AU419">
        <v>1200</v>
      </c>
      <c r="AZ419">
        <v>410</v>
      </c>
      <c r="BA419">
        <v>57</v>
      </c>
      <c r="BE419" s="16">
        <f>(50*1.5)</f>
        <v>75</v>
      </c>
      <c r="BI419">
        <v>0.9</v>
      </c>
    </row>
    <row r="420" spans="1:61" ht="16" x14ac:dyDescent="0.2">
      <c r="A420" s="15" t="s">
        <v>1080</v>
      </c>
      <c r="B420" t="s">
        <v>594</v>
      </c>
      <c r="C420" t="s">
        <v>542</v>
      </c>
      <c r="D420" t="s">
        <v>304</v>
      </c>
      <c r="E420" s="1" t="s">
        <v>168</v>
      </c>
      <c r="F420" s="1" t="s">
        <v>140</v>
      </c>
      <c r="G420" t="s">
        <v>1081</v>
      </c>
      <c r="H420" t="s">
        <v>155</v>
      </c>
      <c r="K420">
        <v>12</v>
      </c>
      <c r="N420">
        <v>10</v>
      </c>
      <c r="S420">
        <v>2.5</v>
      </c>
      <c r="T420" t="s">
        <v>155</v>
      </c>
      <c r="W420">
        <v>85</v>
      </c>
      <c r="Z420" t="s">
        <v>155</v>
      </c>
      <c r="AC420" t="s">
        <v>155</v>
      </c>
      <c r="AF420" t="s">
        <v>155</v>
      </c>
      <c r="AI420">
        <v>20</v>
      </c>
      <c r="AL420" t="s">
        <v>155</v>
      </c>
      <c r="AO420" t="s">
        <v>155</v>
      </c>
      <c r="AR420" t="s">
        <v>155</v>
      </c>
      <c r="AU420" t="s">
        <v>155</v>
      </c>
      <c r="AX420" t="s">
        <v>155</v>
      </c>
      <c r="BA420" t="s">
        <v>155</v>
      </c>
      <c r="BD420" t="s">
        <v>155</v>
      </c>
      <c r="BI420">
        <v>0.1</v>
      </c>
    </row>
    <row r="421" spans="1:61" ht="16" x14ac:dyDescent="0.2">
      <c r="A421" s="15" t="s">
        <v>1080</v>
      </c>
      <c r="B421" t="s">
        <v>594</v>
      </c>
      <c r="C421" t="s">
        <v>542</v>
      </c>
      <c r="D421" t="s">
        <v>304</v>
      </c>
      <c r="E421" s="1" t="s">
        <v>168</v>
      </c>
      <c r="F421" s="1" t="s">
        <v>141</v>
      </c>
      <c r="G421" t="s">
        <v>1082</v>
      </c>
      <c r="H421" t="s">
        <v>155</v>
      </c>
      <c r="K421">
        <v>5.3</v>
      </c>
      <c r="N421">
        <v>34</v>
      </c>
      <c r="S421">
        <v>2.5</v>
      </c>
      <c r="T421" t="s">
        <v>155</v>
      </c>
      <c r="W421">
        <v>191</v>
      </c>
      <c r="Z421" t="s">
        <v>155</v>
      </c>
      <c r="AC421" t="s">
        <v>155</v>
      </c>
      <c r="AF421" t="s">
        <v>155</v>
      </c>
      <c r="AI421">
        <v>40</v>
      </c>
      <c r="AL421" t="s">
        <v>155</v>
      </c>
      <c r="AO421" t="s">
        <v>155</v>
      </c>
      <c r="AR421" t="s">
        <v>155</v>
      </c>
      <c r="AU421" t="s">
        <v>155</v>
      </c>
      <c r="AX421" t="s">
        <v>155</v>
      </c>
      <c r="BA421" t="s">
        <v>155</v>
      </c>
      <c r="BD421" t="s">
        <v>155</v>
      </c>
      <c r="BI421">
        <v>0.1</v>
      </c>
    </row>
    <row r="422" spans="1:61" ht="16" x14ac:dyDescent="0.2">
      <c r="A422" s="15" t="s">
        <v>1083</v>
      </c>
      <c r="B422" t="s">
        <v>1084</v>
      </c>
      <c r="C422" t="s">
        <v>279</v>
      </c>
      <c r="D422" t="s">
        <v>280</v>
      </c>
      <c r="E422" s="1" t="s">
        <v>168</v>
      </c>
      <c r="F422" s="1" t="s">
        <v>140</v>
      </c>
      <c r="G422" t="s">
        <v>1085</v>
      </c>
      <c r="H422" t="s">
        <v>155</v>
      </c>
      <c r="M422">
        <v>2</v>
      </c>
      <c r="N422">
        <v>12</v>
      </c>
      <c r="S422">
        <v>16</v>
      </c>
      <c r="T422" t="s">
        <v>155</v>
      </c>
      <c r="Y422">
        <v>39</v>
      </c>
      <c r="Z422" t="s">
        <v>155</v>
      </c>
      <c r="AC422" t="s">
        <v>155</v>
      </c>
      <c r="AF422" t="s">
        <v>155</v>
      </c>
      <c r="AI422">
        <v>21</v>
      </c>
      <c r="AL422" t="s">
        <v>155</v>
      </c>
      <c r="AO422" t="s">
        <v>155</v>
      </c>
      <c r="AR422" t="s">
        <v>155</v>
      </c>
      <c r="AU422" t="s">
        <v>155</v>
      </c>
      <c r="AX422" t="s">
        <v>155</v>
      </c>
      <c r="BA422" t="s">
        <v>155</v>
      </c>
      <c r="BD422" t="s">
        <v>155</v>
      </c>
      <c r="BI422">
        <v>0.09</v>
      </c>
    </row>
    <row r="423" spans="1:61" x14ac:dyDescent="0.2">
      <c r="A423" t="s">
        <v>1086</v>
      </c>
      <c r="B423" t="s">
        <v>1087</v>
      </c>
      <c r="C423" t="s">
        <v>626</v>
      </c>
      <c r="D423" t="s">
        <v>627</v>
      </c>
      <c r="E423" s="1" t="s">
        <v>8</v>
      </c>
      <c r="F423" s="1" t="s">
        <v>153</v>
      </c>
      <c r="G423" t="s">
        <v>1088</v>
      </c>
      <c r="H423" t="s">
        <v>155</v>
      </c>
      <c r="M423">
        <v>4</v>
      </c>
      <c r="N423" t="s">
        <v>155</v>
      </c>
      <c r="S423">
        <v>4</v>
      </c>
      <c r="T423" t="s">
        <v>155</v>
      </c>
      <c r="W423">
        <v>6</v>
      </c>
      <c r="Z423" t="s">
        <v>155</v>
      </c>
      <c r="AC423">
        <v>6</v>
      </c>
      <c r="AF423" t="s">
        <v>155</v>
      </c>
      <c r="AI423">
        <v>24</v>
      </c>
      <c r="AL423" t="s">
        <v>155</v>
      </c>
      <c r="AO423" t="s">
        <v>155</v>
      </c>
      <c r="AR423" t="s">
        <v>155</v>
      </c>
      <c r="AU423" t="s">
        <v>155</v>
      </c>
      <c r="AX423" t="s">
        <v>155</v>
      </c>
      <c r="BA423" t="s">
        <v>155</v>
      </c>
      <c r="BD423">
        <v>18</v>
      </c>
      <c r="BI423">
        <v>0.1</v>
      </c>
    </row>
    <row r="424" spans="1:61" ht="16" x14ac:dyDescent="0.2">
      <c r="A424" s="15" t="s">
        <v>1089</v>
      </c>
      <c r="B424" t="s">
        <v>1090</v>
      </c>
      <c r="C424" t="s">
        <v>298</v>
      </c>
      <c r="D424" t="s">
        <v>299</v>
      </c>
      <c r="F424" s="1" t="s">
        <v>140</v>
      </c>
      <c r="G424" t="s">
        <v>1091</v>
      </c>
      <c r="H424" t="s">
        <v>155</v>
      </c>
      <c r="K424">
        <v>5</v>
      </c>
      <c r="N424" t="s">
        <v>155</v>
      </c>
      <c r="Q424">
        <v>0.8</v>
      </c>
      <c r="T424" t="s">
        <v>155</v>
      </c>
      <c r="W424">
        <v>7</v>
      </c>
      <c r="Z424" t="s">
        <v>155</v>
      </c>
      <c r="AC424">
        <v>3.4</v>
      </c>
      <c r="AF424" t="s">
        <v>155</v>
      </c>
      <c r="AI424">
        <v>14.6</v>
      </c>
      <c r="AL424" t="s">
        <v>155</v>
      </c>
      <c r="AO424" t="s">
        <v>155</v>
      </c>
      <c r="AR424">
        <v>1.4</v>
      </c>
      <c r="AU424" t="s">
        <v>155</v>
      </c>
      <c r="AX424" t="s">
        <v>155</v>
      </c>
      <c r="BA424" t="s">
        <v>155</v>
      </c>
      <c r="BD424">
        <v>14.4</v>
      </c>
      <c r="BI424">
        <v>1.7000000000000001E-2</v>
      </c>
    </row>
    <row r="425" spans="1:61" x14ac:dyDescent="0.2">
      <c r="A425" t="s">
        <v>1092</v>
      </c>
      <c r="B425" t="s">
        <v>1093</v>
      </c>
      <c r="C425" t="s">
        <v>180</v>
      </c>
      <c r="D425" t="s">
        <v>135</v>
      </c>
      <c r="E425" s="1" t="s">
        <v>8</v>
      </c>
      <c r="F425" s="1" t="s">
        <v>140</v>
      </c>
      <c r="G425" t="s">
        <v>1094</v>
      </c>
      <c r="H425" t="s">
        <v>155</v>
      </c>
      <c r="M425">
        <v>2</v>
      </c>
      <c r="N425">
        <v>96</v>
      </c>
      <c r="S425">
        <v>16</v>
      </c>
      <c r="T425" t="s">
        <v>155</v>
      </c>
      <c r="Y425">
        <v>39</v>
      </c>
      <c r="Z425" t="s">
        <v>155</v>
      </c>
      <c r="AC425" t="s">
        <v>155</v>
      </c>
      <c r="AF425" t="s">
        <v>155</v>
      </c>
      <c r="AK425">
        <v>20</v>
      </c>
      <c r="AL425" t="s">
        <v>155</v>
      </c>
      <c r="AO425" t="s">
        <v>155</v>
      </c>
      <c r="AR425" t="s">
        <v>155</v>
      </c>
      <c r="AU425" t="s">
        <v>155</v>
      </c>
      <c r="AX425" t="s">
        <v>155</v>
      </c>
      <c r="BA425" t="s">
        <v>155</v>
      </c>
      <c r="BD425" t="s">
        <v>155</v>
      </c>
      <c r="BI425">
        <v>0.1</v>
      </c>
    </row>
    <row r="426" spans="1:61" ht="16" x14ac:dyDescent="0.2">
      <c r="A426" s="18" t="s">
        <v>1095</v>
      </c>
      <c r="B426" s="10" t="s">
        <v>1096</v>
      </c>
      <c r="C426" s="10" t="s">
        <v>764</v>
      </c>
      <c r="D426" s="10" t="s">
        <v>292</v>
      </c>
      <c r="E426" s="11" t="s">
        <v>8</v>
      </c>
      <c r="F426" s="11" t="s">
        <v>141</v>
      </c>
      <c r="G426" s="11" t="s">
        <v>1097</v>
      </c>
      <c r="H426">
        <v>7800</v>
      </c>
      <c r="M426">
        <v>3</v>
      </c>
      <c r="P426">
        <v>9</v>
      </c>
      <c r="S426">
        <v>0.42</v>
      </c>
      <c r="V426">
        <v>260</v>
      </c>
      <c r="W426">
        <v>9.4</v>
      </c>
      <c r="AB426">
        <v>0.63</v>
      </c>
      <c r="AE426">
        <v>3</v>
      </c>
      <c r="AF426">
        <v>2500</v>
      </c>
      <c r="AK426">
        <v>5</v>
      </c>
      <c r="AN426">
        <v>120</v>
      </c>
      <c r="AQ426">
        <v>3</v>
      </c>
      <c r="AT426">
        <v>2.2999999999999998</v>
      </c>
      <c r="AW426">
        <v>130</v>
      </c>
      <c r="AZ426">
        <v>50</v>
      </c>
      <c r="BC426">
        <v>8</v>
      </c>
      <c r="BF426">
        <v>9</v>
      </c>
      <c r="BI426">
        <v>0.11</v>
      </c>
    </row>
    <row r="427" spans="1:61" x14ac:dyDescent="0.2">
      <c r="A427" t="s">
        <v>1098</v>
      </c>
      <c r="B427" t="s">
        <v>1099</v>
      </c>
      <c r="C427" t="s">
        <v>180</v>
      </c>
      <c r="D427" t="s">
        <v>135</v>
      </c>
      <c r="E427" s="1" t="s">
        <v>8</v>
      </c>
      <c r="F427" s="1" t="s">
        <v>140</v>
      </c>
      <c r="G427" t="s">
        <v>1100</v>
      </c>
      <c r="H427" t="s">
        <v>155</v>
      </c>
      <c r="K427">
        <v>18</v>
      </c>
      <c r="N427">
        <v>94</v>
      </c>
      <c r="Q427" t="s">
        <v>155</v>
      </c>
      <c r="T427" t="s">
        <v>155</v>
      </c>
      <c r="W427" t="s">
        <v>155</v>
      </c>
      <c r="Z427" t="s">
        <v>155</v>
      </c>
      <c r="AC427" t="s">
        <v>155</v>
      </c>
      <c r="AF427" t="s">
        <v>155</v>
      </c>
      <c r="AI427">
        <v>29</v>
      </c>
      <c r="AL427" t="s">
        <v>155</v>
      </c>
      <c r="AO427" t="s">
        <v>155</v>
      </c>
      <c r="AR427" t="s">
        <v>155</v>
      </c>
      <c r="AU427" t="s">
        <v>155</v>
      </c>
      <c r="AX427" t="s">
        <v>155</v>
      </c>
      <c r="BA427" t="s">
        <v>155</v>
      </c>
      <c r="BD427" t="s">
        <v>155</v>
      </c>
      <c r="BI427">
        <v>0.06</v>
      </c>
    </row>
    <row r="428" spans="1:61" x14ac:dyDescent="0.2">
      <c r="A428" t="s">
        <v>1098</v>
      </c>
      <c r="B428" t="s">
        <v>1099</v>
      </c>
      <c r="C428" t="s">
        <v>180</v>
      </c>
      <c r="D428" t="s">
        <v>135</v>
      </c>
      <c r="E428" s="1" t="s">
        <v>8</v>
      </c>
      <c r="F428" s="1" t="s">
        <v>141</v>
      </c>
      <c r="G428" t="s">
        <v>1101</v>
      </c>
      <c r="H428" t="s">
        <v>155</v>
      </c>
      <c r="K428" t="s">
        <v>155</v>
      </c>
      <c r="N428">
        <v>48</v>
      </c>
      <c r="Q428" t="s">
        <v>155</v>
      </c>
      <c r="T428" t="s">
        <v>155</v>
      </c>
      <c r="W428">
        <v>100</v>
      </c>
      <c r="Z428" t="s">
        <v>155</v>
      </c>
      <c r="AC428">
        <v>32</v>
      </c>
      <c r="AF428" t="s">
        <v>155</v>
      </c>
      <c r="AI428" t="s">
        <v>155</v>
      </c>
      <c r="AL428" t="s">
        <v>155</v>
      </c>
      <c r="AO428" t="s">
        <v>155</v>
      </c>
      <c r="AR428" t="s">
        <v>155</v>
      </c>
      <c r="AU428" t="s">
        <v>155</v>
      </c>
      <c r="AX428" t="s">
        <v>155</v>
      </c>
      <c r="BA428" t="s">
        <v>155</v>
      </c>
      <c r="BD428">
        <v>24</v>
      </c>
      <c r="BI428">
        <v>0.15</v>
      </c>
    </row>
    <row r="429" spans="1:61" x14ac:dyDescent="0.2">
      <c r="A429" t="s">
        <v>1098</v>
      </c>
      <c r="B429" t="s">
        <v>1099</v>
      </c>
      <c r="C429" t="s">
        <v>180</v>
      </c>
      <c r="D429" t="s">
        <v>135</v>
      </c>
      <c r="E429" s="1" t="s">
        <v>8</v>
      </c>
      <c r="F429" s="1" t="s">
        <v>140</v>
      </c>
      <c r="G429" t="s">
        <v>1102</v>
      </c>
      <c r="H429" t="s">
        <v>155</v>
      </c>
      <c r="K429">
        <v>2</v>
      </c>
      <c r="N429">
        <v>70</v>
      </c>
      <c r="Q429" t="s">
        <v>155</v>
      </c>
      <c r="T429" t="s">
        <v>155</v>
      </c>
      <c r="W429">
        <v>12</v>
      </c>
      <c r="Z429" t="s">
        <v>155</v>
      </c>
      <c r="AC429">
        <v>26</v>
      </c>
      <c r="AF429" t="s">
        <v>155</v>
      </c>
      <c r="AI429">
        <v>44</v>
      </c>
      <c r="AL429" t="s">
        <v>155</v>
      </c>
      <c r="AO429" t="s">
        <v>155</v>
      </c>
      <c r="AR429" t="s">
        <v>155</v>
      </c>
      <c r="AU429" t="s">
        <v>155</v>
      </c>
      <c r="AX429" t="s">
        <v>155</v>
      </c>
      <c r="BA429" t="s">
        <v>155</v>
      </c>
      <c r="BD429">
        <v>40</v>
      </c>
      <c r="BG429" t="s">
        <v>155</v>
      </c>
    </row>
    <row r="430" spans="1:61" x14ac:dyDescent="0.2">
      <c r="A430" t="s">
        <v>1098</v>
      </c>
      <c r="B430" t="s">
        <v>1099</v>
      </c>
      <c r="C430" t="s">
        <v>180</v>
      </c>
      <c r="D430" t="s">
        <v>135</v>
      </c>
      <c r="E430" s="1" t="s">
        <v>8</v>
      </c>
      <c r="F430" s="1" t="s">
        <v>141</v>
      </c>
      <c r="G430" t="s">
        <v>1103</v>
      </c>
      <c r="H430">
        <v>21000</v>
      </c>
      <c r="M430">
        <v>1</v>
      </c>
      <c r="O430" s="16">
        <f>(35*3.99)</f>
        <v>139.65</v>
      </c>
      <c r="S430">
        <v>0.08</v>
      </c>
      <c r="T430">
        <v>330</v>
      </c>
      <c r="W430">
        <v>52</v>
      </c>
      <c r="AA430" s="16">
        <f>(4.2*1.25)</f>
        <v>5.25</v>
      </c>
      <c r="AC430">
        <v>36</v>
      </c>
      <c r="AF430">
        <v>52000</v>
      </c>
      <c r="AI430">
        <v>11</v>
      </c>
      <c r="AL430">
        <v>330</v>
      </c>
      <c r="AO430">
        <v>260</v>
      </c>
      <c r="AS430" s="16">
        <f>(4.5*1.35)</f>
        <v>6.0750000000000002</v>
      </c>
      <c r="AV430" s="16">
        <f>(300*17.49)</f>
        <v>5246.9999999999991</v>
      </c>
      <c r="AZ430">
        <v>60</v>
      </c>
      <c r="BA430">
        <v>140</v>
      </c>
      <c r="BE430" s="16">
        <f>(23*1.5)</f>
        <v>34.5</v>
      </c>
      <c r="BG430">
        <v>0.11</v>
      </c>
    </row>
    <row r="431" spans="1:61" x14ac:dyDescent="0.2">
      <c r="A431" s="10" t="s">
        <v>1098</v>
      </c>
      <c r="B431" s="10" t="s">
        <v>1099</v>
      </c>
      <c r="C431" s="10" t="s">
        <v>180</v>
      </c>
      <c r="D431" s="10" t="s">
        <v>135</v>
      </c>
      <c r="E431" s="11" t="s">
        <v>8</v>
      </c>
      <c r="F431" s="11" t="s">
        <v>140</v>
      </c>
      <c r="G431" s="10" t="s">
        <v>1104</v>
      </c>
      <c r="H431">
        <v>16000</v>
      </c>
      <c r="M431">
        <v>3</v>
      </c>
      <c r="O431" s="16">
        <f>(56*3.99)</f>
        <v>223.44</v>
      </c>
      <c r="S431">
        <v>0.08</v>
      </c>
      <c r="T431">
        <v>600</v>
      </c>
      <c r="W431">
        <v>48</v>
      </c>
      <c r="Z431">
        <v>22</v>
      </c>
      <c r="AC431">
        <v>23</v>
      </c>
      <c r="AF431">
        <v>28000</v>
      </c>
      <c r="AI431">
        <v>6.7</v>
      </c>
      <c r="AL431">
        <v>770</v>
      </c>
      <c r="AO431">
        <v>400</v>
      </c>
      <c r="AS431" s="16">
        <f>(6.5*1.35)</f>
        <v>8.7750000000000004</v>
      </c>
      <c r="AV431" s="16">
        <f>(240*17.49)</f>
        <v>4197.5999999999995</v>
      </c>
      <c r="AZ431">
        <v>60</v>
      </c>
      <c r="BA431">
        <v>90</v>
      </c>
      <c r="BE431" s="16">
        <f>(23*1.5)</f>
        <v>34.5</v>
      </c>
      <c r="BI431">
        <v>0.05</v>
      </c>
    </row>
    <row r="432" spans="1:61" x14ac:dyDescent="0.2">
      <c r="A432" t="s">
        <v>1098</v>
      </c>
      <c r="B432" t="s">
        <v>1099</v>
      </c>
      <c r="C432" t="s">
        <v>180</v>
      </c>
      <c r="D432" t="s">
        <v>135</v>
      </c>
      <c r="E432" s="1" t="s">
        <v>8</v>
      </c>
      <c r="F432" s="1" t="s">
        <v>141</v>
      </c>
      <c r="G432" t="s">
        <v>1105</v>
      </c>
      <c r="H432">
        <v>29000</v>
      </c>
      <c r="L432" s="16">
        <f>(2.2*1.74)</f>
        <v>3.8280000000000003</v>
      </c>
      <c r="O432" s="16">
        <f>(44*3.99)</f>
        <v>175.56</v>
      </c>
      <c r="S432">
        <v>0.08</v>
      </c>
      <c r="T432">
        <v>530</v>
      </c>
      <c r="W432">
        <v>34</v>
      </c>
      <c r="AA432" s="16">
        <f>(9.6*1.25)</f>
        <v>12</v>
      </c>
      <c r="AC432">
        <v>22</v>
      </c>
      <c r="AF432">
        <v>50000</v>
      </c>
      <c r="AI432">
        <v>6.7</v>
      </c>
      <c r="AL432">
        <v>1400</v>
      </c>
      <c r="AO432">
        <v>88</v>
      </c>
      <c r="AS432" s="16">
        <f>(9.2*1.35)</f>
        <v>12.42</v>
      </c>
      <c r="AV432" s="16">
        <f>(160*17.49)</f>
        <v>2798.3999999999996</v>
      </c>
      <c r="AZ432">
        <v>60</v>
      </c>
      <c r="BA432">
        <v>160</v>
      </c>
      <c r="BE432" s="16">
        <f>(28*1.5)</f>
        <v>42</v>
      </c>
      <c r="BI432">
        <v>0.04</v>
      </c>
    </row>
    <row r="433" spans="1:61" ht="16" x14ac:dyDescent="0.2">
      <c r="A433" s="15" t="s">
        <v>1106</v>
      </c>
      <c r="B433" t="s">
        <v>1107</v>
      </c>
      <c r="C433" t="s">
        <v>180</v>
      </c>
      <c r="D433" t="s">
        <v>135</v>
      </c>
      <c r="E433" s="1" t="s">
        <v>8</v>
      </c>
      <c r="F433" s="1" t="s">
        <v>153</v>
      </c>
      <c r="G433" t="s">
        <v>1108</v>
      </c>
      <c r="H433" t="s">
        <v>155</v>
      </c>
      <c r="K433">
        <v>6.2</v>
      </c>
      <c r="N433" t="s">
        <v>155</v>
      </c>
      <c r="Q433" t="s">
        <v>155</v>
      </c>
      <c r="T433" t="s">
        <v>155</v>
      </c>
      <c r="W433">
        <v>29</v>
      </c>
      <c r="Z433" t="s">
        <v>155</v>
      </c>
      <c r="AC433">
        <v>38</v>
      </c>
      <c r="AF433" t="s">
        <v>155</v>
      </c>
      <c r="AI433">
        <v>200</v>
      </c>
      <c r="AL433" t="s">
        <v>155</v>
      </c>
      <c r="AO433" t="s">
        <v>155</v>
      </c>
      <c r="AR433">
        <v>13</v>
      </c>
      <c r="AU433" t="s">
        <v>155</v>
      </c>
      <c r="AX433" t="s">
        <v>155</v>
      </c>
      <c r="BA433" t="s">
        <v>155</v>
      </c>
      <c r="BD433">
        <v>240</v>
      </c>
      <c r="BG433" t="s">
        <v>155</v>
      </c>
    </row>
    <row r="434" spans="1:61" ht="16" x14ac:dyDescent="0.2">
      <c r="A434" s="15" t="s">
        <v>1106</v>
      </c>
      <c r="B434" t="s">
        <v>1107</v>
      </c>
      <c r="C434" t="s">
        <v>180</v>
      </c>
      <c r="D434" t="s">
        <v>135</v>
      </c>
      <c r="E434" s="1" t="s">
        <v>8</v>
      </c>
      <c r="F434" s="1" t="s">
        <v>153</v>
      </c>
      <c r="G434" t="s">
        <v>1109</v>
      </c>
      <c r="H434" t="s">
        <v>155</v>
      </c>
      <c r="K434">
        <v>3.3</v>
      </c>
      <c r="N434" t="s">
        <v>155</v>
      </c>
      <c r="Q434" t="s">
        <v>155</v>
      </c>
      <c r="T434" t="s">
        <v>155</v>
      </c>
      <c r="W434">
        <v>72</v>
      </c>
      <c r="Z434" t="s">
        <v>155</v>
      </c>
      <c r="AC434">
        <v>73</v>
      </c>
      <c r="AF434" t="s">
        <v>155</v>
      </c>
      <c r="AI434">
        <v>30</v>
      </c>
      <c r="AL434" t="s">
        <v>155</v>
      </c>
      <c r="AO434" t="s">
        <v>155</v>
      </c>
      <c r="AR434">
        <v>8.6999999999999993</v>
      </c>
      <c r="AU434" t="s">
        <v>155</v>
      </c>
      <c r="AX434" t="s">
        <v>155</v>
      </c>
      <c r="BA434" t="s">
        <v>155</v>
      </c>
      <c r="BD434">
        <v>51</v>
      </c>
      <c r="BG434" t="s">
        <v>155</v>
      </c>
    </row>
    <row r="435" spans="1:61" x14ac:dyDescent="0.2">
      <c r="A435" t="s">
        <v>1110</v>
      </c>
      <c r="B435" t="s">
        <v>1111</v>
      </c>
      <c r="C435" t="s">
        <v>180</v>
      </c>
      <c r="D435" t="s">
        <v>135</v>
      </c>
      <c r="E435" s="1" t="s">
        <v>8</v>
      </c>
      <c r="F435" s="1" t="s">
        <v>140</v>
      </c>
      <c r="G435" t="s">
        <v>1112</v>
      </c>
      <c r="H435" t="s">
        <v>155</v>
      </c>
      <c r="K435" t="s">
        <v>155</v>
      </c>
      <c r="N435" t="s">
        <v>155</v>
      </c>
      <c r="Q435" t="s">
        <v>155</v>
      </c>
      <c r="T435" t="s">
        <v>155</v>
      </c>
      <c r="W435" t="s">
        <v>155</v>
      </c>
      <c r="Z435" t="s">
        <v>155</v>
      </c>
      <c r="AC435" t="s">
        <v>155</v>
      </c>
      <c r="AF435" t="s">
        <v>155</v>
      </c>
      <c r="AI435" t="s">
        <v>155</v>
      </c>
      <c r="AL435" t="s">
        <v>155</v>
      </c>
      <c r="AO435" t="s">
        <v>155</v>
      </c>
      <c r="AR435" t="s">
        <v>155</v>
      </c>
      <c r="AU435" t="s">
        <v>155</v>
      </c>
      <c r="AX435" t="s">
        <v>155</v>
      </c>
      <c r="BA435" t="s">
        <v>155</v>
      </c>
      <c r="BD435" t="s">
        <v>155</v>
      </c>
      <c r="BI435">
        <v>0.05</v>
      </c>
    </row>
    <row r="436" spans="1:61" x14ac:dyDescent="0.2">
      <c r="A436" t="s">
        <v>1110</v>
      </c>
      <c r="B436" t="s">
        <v>1111</v>
      </c>
      <c r="C436" t="s">
        <v>180</v>
      </c>
      <c r="D436" t="s">
        <v>135</v>
      </c>
      <c r="E436" s="1" t="s">
        <v>8</v>
      </c>
      <c r="F436" s="1" t="s">
        <v>153</v>
      </c>
      <c r="G436" t="s">
        <v>1113</v>
      </c>
      <c r="I436" s="16">
        <f>(6200*1.66)</f>
        <v>10292</v>
      </c>
      <c r="K436" t="s">
        <v>155</v>
      </c>
      <c r="N436">
        <v>54</v>
      </c>
      <c r="S436">
        <v>0.68</v>
      </c>
      <c r="T436">
        <v>1400</v>
      </c>
      <c r="X436" s="16">
        <f>(22*1.29)</f>
        <v>28.380000000000003</v>
      </c>
      <c r="AA436" s="16">
        <f>(10*1.25)</f>
        <v>12.5</v>
      </c>
      <c r="AD436" s="16">
        <f>(17*1.22)</f>
        <v>20.74</v>
      </c>
      <c r="AG436" s="16">
        <f>(14000*1.34)</f>
        <v>18760</v>
      </c>
      <c r="AI436">
        <v>18</v>
      </c>
      <c r="AL436">
        <v>1900</v>
      </c>
      <c r="AP436" s="16">
        <f>(280*1.24)</f>
        <v>347.2</v>
      </c>
      <c r="AR436">
        <v>6.5</v>
      </c>
      <c r="AU436">
        <v>710</v>
      </c>
      <c r="AZ436">
        <v>120</v>
      </c>
      <c r="BB436" s="16">
        <f>(41*1.34)</f>
        <v>54.940000000000005</v>
      </c>
      <c r="BE436" s="16">
        <f>(47*1.5)</f>
        <v>70.5</v>
      </c>
      <c r="BI436">
        <v>7.0000000000000007E-2</v>
      </c>
    </row>
    <row r="437" spans="1:61" x14ac:dyDescent="0.2">
      <c r="A437" s="10" t="s">
        <v>1110</v>
      </c>
      <c r="B437" s="10" t="s">
        <v>1111</v>
      </c>
      <c r="C437" s="10" t="s">
        <v>180</v>
      </c>
      <c r="D437" s="10" t="s">
        <v>135</v>
      </c>
      <c r="E437" s="11" t="s">
        <v>8</v>
      </c>
      <c r="F437" s="11" t="s">
        <v>153</v>
      </c>
      <c r="G437" s="10" t="s">
        <v>1114</v>
      </c>
      <c r="I437" s="16">
        <f>(4300*1.66)</f>
        <v>7138</v>
      </c>
      <c r="L437" s="16">
        <f>(31*1.74)</f>
        <v>53.94</v>
      </c>
      <c r="N437">
        <v>38</v>
      </c>
      <c r="S437">
        <v>0.66</v>
      </c>
      <c r="T437">
        <v>1300</v>
      </c>
      <c r="X437" s="16">
        <f>(24*1.29)</f>
        <v>30.96</v>
      </c>
      <c r="AA437" s="16">
        <f>(6.5*1.25)</f>
        <v>8.125</v>
      </c>
      <c r="AD437" s="16">
        <f>(12*1.22)</f>
        <v>14.64</v>
      </c>
      <c r="AG437" s="16">
        <f>(12000*1.34)</f>
        <v>16080.000000000002</v>
      </c>
      <c r="AI437">
        <v>6.9</v>
      </c>
      <c r="AL437">
        <v>1600</v>
      </c>
      <c r="AP437" s="16">
        <f>(300*1.24)</f>
        <v>372</v>
      </c>
      <c r="AR437">
        <v>5.5</v>
      </c>
      <c r="AU437">
        <v>660</v>
      </c>
      <c r="AZ437">
        <v>130</v>
      </c>
      <c r="BB437" s="16">
        <f>(33*1.34)</f>
        <v>44.220000000000006</v>
      </c>
      <c r="BE437" s="16">
        <f>(67*1.5)</f>
        <v>100.5</v>
      </c>
      <c r="BI437">
        <v>0.09</v>
      </c>
    </row>
    <row r="438" spans="1:61" x14ac:dyDescent="0.2">
      <c r="A438" s="10" t="s">
        <v>1110</v>
      </c>
      <c r="B438" s="10" t="s">
        <v>1111</v>
      </c>
      <c r="C438" s="10" t="s">
        <v>180</v>
      </c>
      <c r="D438" s="10" t="s">
        <v>135</v>
      </c>
      <c r="E438" s="11" t="s">
        <v>8</v>
      </c>
      <c r="F438" s="11" t="s">
        <v>140</v>
      </c>
      <c r="G438" s="10" t="s">
        <v>1112</v>
      </c>
      <c r="I438" s="16">
        <f>(25000*1.66)</f>
        <v>41500</v>
      </c>
      <c r="L438" s="16">
        <f>(1.7*1.74)</f>
        <v>2.9579999999999997</v>
      </c>
      <c r="N438">
        <v>380</v>
      </c>
      <c r="R438" s="16">
        <f>(0.38*1.41)</f>
        <v>0.53579999999999994</v>
      </c>
      <c r="T438">
        <v>2800</v>
      </c>
      <c r="X438" s="16">
        <f>(43*1.29)</f>
        <v>55.47</v>
      </c>
      <c r="AA438" s="16">
        <f>(18*1.25)</f>
        <v>22.5</v>
      </c>
      <c r="AD438" s="16">
        <f>(67*1.22)</f>
        <v>81.739999999999995</v>
      </c>
      <c r="AG438" s="16">
        <f>(38000*1.34)</f>
        <v>50920</v>
      </c>
      <c r="AI438">
        <v>130</v>
      </c>
      <c r="AL438">
        <v>6700</v>
      </c>
      <c r="AP438" s="16">
        <f>(690*1.24)</f>
        <v>855.6</v>
      </c>
      <c r="AR438">
        <v>26</v>
      </c>
      <c r="AU438">
        <v>2700</v>
      </c>
      <c r="AZ438">
        <v>140</v>
      </c>
      <c r="BB438" s="16">
        <f>(110*1.34)</f>
        <v>147.4</v>
      </c>
      <c r="BE438" s="16">
        <f>(150*1.5)</f>
        <v>225</v>
      </c>
      <c r="BG438">
        <v>0.19</v>
      </c>
    </row>
    <row r="439" spans="1:61" x14ac:dyDescent="0.2">
      <c r="A439" t="s">
        <v>1115</v>
      </c>
      <c r="B439" t="s">
        <v>1116</v>
      </c>
      <c r="C439" t="s">
        <v>1117</v>
      </c>
      <c r="D439" t="s">
        <v>1118</v>
      </c>
      <c r="F439" s="1" t="s">
        <v>140</v>
      </c>
      <c r="G439" t="s">
        <v>1119</v>
      </c>
      <c r="H439" t="s">
        <v>155</v>
      </c>
      <c r="K439">
        <v>1.1399999999999999</v>
      </c>
      <c r="N439">
        <v>136</v>
      </c>
      <c r="S439">
        <v>1</v>
      </c>
      <c r="T439" t="s">
        <v>155</v>
      </c>
      <c r="W439">
        <v>23.5</v>
      </c>
      <c r="Z439" t="s">
        <v>155</v>
      </c>
      <c r="AC439" t="s">
        <v>155</v>
      </c>
      <c r="AF439">
        <v>44750</v>
      </c>
      <c r="AI439">
        <v>24.2</v>
      </c>
      <c r="AL439" t="s">
        <v>155</v>
      </c>
      <c r="AO439" t="s">
        <v>155</v>
      </c>
      <c r="AR439" t="s">
        <v>155</v>
      </c>
      <c r="AU439" t="s">
        <v>155</v>
      </c>
      <c r="AX439" t="s">
        <v>155</v>
      </c>
      <c r="BA439" t="s">
        <v>155</v>
      </c>
      <c r="BD439">
        <v>68.099999999999994</v>
      </c>
      <c r="BI439">
        <v>0.1</v>
      </c>
    </row>
    <row r="440" spans="1:61" x14ac:dyDescent="0.2">
      <c r="A440" t="s">
        <v>1115</v>
      </c>
      <c r="B440" t="s">
        <v>1116</v>
      </c>
      <c r="C440" t="s">
        <v>1117</v>
      </c>
      <c r="D440" t="s">
        <v>1118</v>
      </c>
      <c r="F440" s="1" t="s">
        <v>140</v>
      </c>
      <c r="G440" t="s">
        <v>1120</v>
      </c>
      <c r="H440" t="s">
        <v>155</v>
      </c>
      <c r="M440">
        <v>2</v>
      </c>
      <c r="N440">
        <v>130</v>
      </c>
      <c r="S440">
        <v>16</v>
      </c>
      <c r="T440" t="s">
        <v>155</v>
      </c>
      <c r="W440">
        <v>69</v>
      </c>
      <c r="Z440" t="s">
        <v>155</v>
      </c>
      <c r="AC440" t="s">
        <v>155</v>
      </c>
      <c r="AF440">
        <v>45100</v>
      </c>
      <c r="AK440">
        <v>20</v>
      </c>
      <c r="AL440" t="s">
        <v>155</v>
      </c>
      <c r="AO440">
        <v>380</v>
      </c>
      <c r="AR440" t="s">
        <v>155</v>
      </c>
      <c r="AU440" t="s">
        <v>155</v>
      </c>
      <c r="AX440" t="s">
        <v>155</v>
      </c>
      <c r="BA440" t="s">
        <v>155</v>
      </c>
      <c r="BD440">
        <v>65</v>
      </c>
      <c r="BI440">
        <v>0.09</v>
      </c>
    </row>
    <row r="441" spans="1:61" x14ac:dyDescent="0.2">
      <c r="A441" t="s">
        <v>1115</v>
      </c>
      <c r="B441" t="s">
        <v>1121</v>
      </c>
      <c r="C441" t="s">
        <v>1117</v>
      </c>
      <c r="D441" t="s">
        <v>1118</v>
      </c>
      <c r="F441" s="1" t="s">
        <v>140</v>
      </c>
      <c r="G441" t="s">
        <v>1122</v>
      </c>
      <c r="H441" t="s">
        <v>155</v>
      </c>
      <c r="K441">
        <v>2.06</v>
      </c>
      <c r="N441">
        <v>95.5</v>
      </c>
      <c r="S441">
        <v>1</v>
      </c>
      <c r="T441" t="s">
        <v>155</v>
      </c>
      <c r="W441">
        <v>26.9</v>
      </c>
      <c r="Z441" t="s">
        <v>155</v>
      </c>
      <c r="AC441" t="s">
        <v>155</v>
      </c>
      <c r="AF441">
        <v>33270</v>
      </c>
      <c r="AI441">
        <v>42.2</v>
      </c>
      <c r="AL441" t="s">
        <v>155</v>
      </c>
      <c r="AO441" t="s">
        <v>155</v>
      </c>
      <c r="AR441" t="s">
        <v>155</v>
      </c>
      <c r="AU441" t="s">
        <v>155</v>
      </c>
      <c r="AX441" t="s">
        <v>155</v>
      </c>
      <c r="BA441" t="s">
        <v>155</v>
      </c>
      <c r="BD441">
        <v>120</v>
      </c>
      <c r="BI441">
        <v>0.1</v>
      </c>
    </row>
    <row r="442" spans="1:61" x14ac:dyDescent="0.2">
      <c r="A442" t="s">
        <v>1115</v>
      </c>
      <c r="B442" t="s">
        <v>1121</v>
      </c>
      <c r="C442" t="s">
        <v>1117</v>
      </c>
      <c r="D442" t="s">
        <v>1118</v>
      </c>
      <c r="F442" s="1" t="s">
        <v>140</v>
      </c>
      <c r="G442" t="s">
        <v>1123</v>
      </c>
      <c r="H442" t="s">
        <v>155</v>
      </c>
      <c r="K442">
        <v>2.0299999999999998</v>
      </c>
      <c r="N442">
        <v>200</v>
      </c>
      <c r="S442">
        <v>16</v>
      </c>
      <c r="T442" t="s">
        <v>155</v>
      </c>
      <c r="W442">
        <v>29</v>
      </c>
      <c r="Z442" t="s">
        <v>155</v>
      </c>
      <c r="AC442" t="s">
        <v>155</v>
      </c>
      <c r="AF442">
        <v>39000</v>
      </c>
      <c r="AI442">
        <v>31</v>
      </c>
      <c r="AL442" t="s">
        <v>155</v>
      </c>
      <c r="AO442">
        <v>380</v>
      </c>
      <c r="AR442" t="s">
        <v>155</v>
      </c>
      <c r="AU442" t="s">
        <v>155</v>
      </c>
      <c r="AX442" t="s">
        <v>155</v>
      </c>
      <c r="BA442" t="s">
        <v>155</v>
      </c>
      <c r="BD442">
        <v>120</v>
      </c>
      <c r="BI442">
        <v>0.09</v>
      </c>
    </row>
    <row r="443" spans="1:61" x14ac:dyDescent="0.2">
      <c r="A443" t="s">
        <v>1115</v>
      </c>
      <c r="B443" t="s">
        <v>1124</v>
      </c>
      <c r="C443" t="s">
        <v>1117</v>
      </c>
      <c r="D443" t="s">
        <v>1118</v>
      </c>
      <c r="F443" s="1" t="s">
        <v>140</v>
      </c>
      <c r="G443" t="s">
        <v>1125</v>
      </c>
      <c r="H443" t="s">
        <v>155</v>
      </c>
      <c r="M443">
        <v>1</v>
      </c>
      <c r="N443">
        <v>183</v>
      </c>
      <c r="S443">
        <v>1</v>
      </c>
      <c r="T443" t="s">
        <v>155</v>
      </c>
      <c r="W443">
        <v>44.8</v>
      </c>
      <c r="Z443" t="s">
        <v>155</v>
      </c>
      <c r="AC443" t="s">
        <v>155</v>
      </c>
      <c r="AF443">
        <v>68160</v>
      </c>
      <c r="AI443">
        <v>35.6</v>
      </c>
      <c r="AL443" t="s">
        <v>155</v>
      </c>
      <c r="AO443" t="s">
        <v>155</v>
      </c>
      <c r="AR443" t="s">
        <v>155</v>
      </c>
      <c r="AU443" t="s">
        <v>155</v>
      </c>
      <c r="AX443" t="s">
        <v>155</v>
      </c>
      <c r="BA443" t="s">
        <v>155</v>
      </c>
      <c r="BD443">
        <v>283</v>
      </c>
      <c r="BI443">
        <v>0.1</v>
      </c>
    </row>
    <row r="444" spans="1:61" x14ac:dyDescent="0.2">
      <c r="A444" t="s">
        <v>1115</v>
      </c>
      <c r="B444" t="s">
        <v>1124</v>
      </c>
      <c r="C444" t="s">
        <v>1117</v>
      </c>
      <c r="D444" t="s">
        <v>1118</v>
      </c>
      <c r="F444" s="1" t="s">
        <v>140</v>
      </c>
      <c r="G444" t="s">
        <v>1126</v>
      </c>
      <c r="H444" t="s">
        <v>155</v>
      </c>
      <c r="M444">
        <v>2</v>
      </c>
      <c r="N444">
        <v>160</v>
      </c>
      <c r="S444">
        <v>16</v>
      </c>
      <c r="T444" t="s">
        <v>155</v>
      </c>
      <c r="W444">
        <v>21</v>
      </c>
      <c r="Z444" t="s">
        <v>155</v>
      </c>
      <c r="AC444" t="s">
        <v>155</v>
      </c>
      <c r="AF444">
        <v>62000</v>
      </c>
      <c r="AI444">
        <v>20</v>
      </c>
      <c r="AL444" t="s">
        <v>155</v>
      </c>
      <c r="AO444">
        <v>700</v>
      </c>
      <c r="AR444" t="s">
        <v>155</v>
      </c>
      <c r="AU444" t="s">
        <v>155</v>
      </c>
      <c r="AX444" t="s">
        <v>155</v>
      </c>
      <c r="BA444" t="s">
        <v>155</v>
      </c>
      <c r="BD444">
        <v>260</v>
      </c>
      <c r="BI444">
        <v>0.09</v>
      </c>
    </row>
    <row r="445" spans="1:61" x14ac:dyDescent="0.2">
      <c r="A445" t="s">
        <v>1127</v>
      </c>
      <c r="B445" t="s">
        <v>1128</v>
      </c>
      <c r="C445" t="s">
        <v>473</v>
      </c>
      <c r="D445" t="s">
        <v>474</v>
      </c>
      <c r="E445" s="1" t="s">
        <v>8</v>
      </c>
      <c r="F445" s="1" t="s">
        <v>140</v>
      </c>
      <c r="G445" t="s">
        <v>1129</v>
      </c>
      <c r="H445">
        <v>15000</v>
      </c>
      <c r="K445">
        <v>3.2</v>
      </c>
      <c r="N445">
        <v>59</v>
      </c>
      <c r="S445">
        <v>0.55000000000000004</v>
      </c>
      <c r="U445" s="16">
        <f>(230*1.28)</f>
        <v>294.40000000000003</v>
      </c>
      <c r="W445">
        <v>13</v>
      </c>
      <c r="Z445" t="s">
        <v>155</v>
      </c>
      <c r="AC445" t="s">
        <v>155</v>
      </c>
      <c r="AF445" t="s">
        <v>155</v>
      </c>
      <c r="AI445" t="s">
        <v>155</v>
      </c>
      <c r="AL445">
        <v>2600</v>
      </c>
      <c r="AO445" t="s">
        <v>155</v>
      </c>
      <c r="AR445" t="s">
        <v>155</v>
      </c>
      <c r="AS445" s="36"/>
      <c r="AU445">
        <v>3100</v>
      </c>
      <c r="AY445" s="16">
        <f>(33*25.43)</f>
        <v>839.18999999999994</v>
      </c>
      <c r="BA445" t="s">
        <v>155</v>
      </c>
      <c r="BD445" t="s">
        <v>155</v>
      </c>
      <c r="BG445" t="s">
        <v>155</v>
      </c>
    </row>
    <row r="446" spans="1:61" x14ac:dyDescent="0.2">
      <c r="A446" s="10" t="s">
        <v>1130</v>
      </c>
      <c r="B446" s="10" t="s">
        <v>1131</v>
      </c>
      <c r="C446" s="10" t="s">
        <v>128</v>
      </c>
      <c r="D446" s="10" t="s">
        <v>129</v>
      </c>
      <c r="E446" s="11" t="s">
        <v>8</v>
      </c>
      <c r="F446" s="11" t="s">
        <v>140</v>
      </c>
      <c r="G446" s="10" t="s">
        <v>1132</v>
      </c>
      <c r="H446">
        <v>18000</v>
      </c>
      <c r="M446">
        <v>2.9</v>
      </c>
      <c r="N446">
        <v>43</v>
      </c>
      <c r="S446">
        <v>0.44</v>
      </c>
      <c r="T446">
        <v>240</v>
      </c>
      <c r="X446" s="16">
        <f>(55*1.29)</f>
        <v>70.95</v>
      </c>
      <c r="Z446">
        <v>4.3</v>
      </c>
      <c r="AE446">
        <v>10</v>
      </c>
      <c r="AG446" s="16">
        <f>(42000*1.34)</f>
        <v>56280</v>
      </c>
      <c r="AI446">
        <v>19</v>
      </c>
      <c r="AL446">
        <v>250</v>
      </c>
      <c r="AP446" s="16">
        <f>(190*1.24)</f>
        <v>235.6</v>
      </c>
      <c r="AR446">
        <v>3.6</v>
      </c>
      <c r="AW446">
        <v>490</v>
      </c>
      <c r="AZ446">
        <v>100</v>
      </c>
      <c r="BB446" s="16">
        <f>(60*1.34)</f>
        <v>80.400000000000006</v>
      </c>
      <c r="BD446">
        <v>28</v>
      </c>
      <c r="BI446">
        <v>0.11</v>
      </c>
    </row>
    <row r="447" spans="1:61" x14ac:dyDescent="0.2">
      <c r="A447" s="10" t="s">
        <v>1130</v>
      </c>
      <c r="B447" s="10" t="s">
        <v>1131</v>
      </c>
      <c r="C447" s="10" t="s">
        <v>128</v>
      </c>
      <c r="D447" s="10" t="s">
        <v>129</v>
      </c>
      <c r="E447" s="11" t="s">
        <v>8</v>
      </c>
      <c r="F447" s="11" t="s">
        <v>141</v>
      </c>
      <c r="G447" s="10" t="s">
        <v>1133</v>
      </c>
      <c r="H447">
        <v>16000</v>
      </c>
      <c r="K447">
        <v>2.6</v>
      </c>
      <c r="N447">
        <v>18</v>
      </c>
      <c r="S447">
        <v>0.43</v>
      </c>
      <c r="V447">
        <v>40</v>
      </c>
      <c r="X447" s="16">
        <f>(17*1.29)</f>
        <v>21.93</v>
      </c>
      <c r="Z447">
        <v>35</v>
      </c>
      <c r="AE447">
        <v>30</v>
      </c>
      <c r="AG447" s="16">
        <f>(38000*1.34)</f>
        <v>50920</v>
      </c>
      <c r="AJ447" s="16">
        <f>(46*1.44)</f>
        <v>66.239999999999995</v>
      </c>
      <c r="AL447">
        <v>110</v>
      </c>
      <c r="AP447" s="16">
        <f>(830*1.24)</f>
        <v>1029.2</v>
      </c>
      <c r="AR447">
        <v>4.0999999999999996</v>
      </c>
      <c r="AW447">
        <v>400</v>
      </c>
      <c r="AZ447">
        <v>100</v>
      </c>
      <c r="BB447" s="16">
        <f>(51*1.34)</f>
        <v>68.34</v>
      </c>
      <c r="BD447">
        <v>14</v>
      </c>
      <c r="BI447">
        <v>0.1</v>
      </c>
    </row>
    <row r="448" spans="1:61" x14ac:dyDescent="0.2">
      <c r="A448" t="s">
        <v>1134</v>
      </c>
      <c r="B448" t="s">
        <v>1135</v>
      </c>
      <c r="C448" t="s">
        <v>1136</v>
      </c>
      <c r="D448" t="s">
        <v>577</v>
      </c>
      <c r="E448" s="1" t="s">
        <v>168</v>
      </c>
      <c r="F448" s="1" t="s">
        <v>140</v>
      </c>
      <c r="G448" t="s">
        <v>1137</v>
      </c>
      <c r="H448" t="s">
        <v>155</v>
      </c>
      <c r="K448" t="s">
        <v>155</v>
      </c>
      <c r="N448" t="s">
        <v>155</v>
      </c>
      <c r="Q448" t="s">
        <v>155</v>
      </c>
      <c r="T448" t="s">
        <v>155</v>
      </c>
      <c r="W448" t="s">
        <v>155</v>
      </c>
      <c r="Z448" t="s">
        <v>155</v>
      </c>
      <c r="AC448" t="s">
        <v>155</v>
      </c>
      <c r="AF448" t="s">
        <v>155</v>
      </c>
      <c r="AI448" t="s">
        <v>155</v>
      </c>
      <c r="AL448" t="s">
        <v>155</v>
      </c>
      <c r="AO448" t="s">
        <v>155</v>
      </c>
      <c r="AR448" t="s">
        <v>155</v>
      </c>
      <c r="AU448" t="s">
        <v>155</v>
      </c>
      <c r="AX448" t="s">
        <v>155</v>
      </c>
      <c r="BA448" t="s">
        <v>155</v>
      </c>
      <c r="BD448" t="s">
        <v>155</v>
      </c>
      <c r="BG448">
        <v>10</v>
      </c>
    </row>
    <row r="449" spans="1:61" x14ac:dyDescent="0.2">
      <c r="A449" t="s">
        <v>1134</v>
      </c>
      <c r="B449" t="s">
        <v>1135</v>
      </c>
      <c r="C449" t="s">
        <v>1136</v>
      </c>
      <c r="D449" t="s">
        <v>577</v>
      </c>
      <c r="E449" s="1" t="s">
        <v>168</v>
      </c>
      <c r="F449" s="1" t="s">
        <v>153</v>
      </c>
      <c r="G449" t="s">
        <v>1138</v>
      </c>
      <c r="H449" t="s">
        <v>155</v>
      </c>
      <c r="M449">
        <v>4</v>
      </c>
      <c r="N449">
        <v>18</v>
      </c>
      <c r="S449">
        <v>10</v>
      </c>
      <c r="T449" t="s">
        <v>155</v>
      </c>
      <c r="Y449">
        <v>10</v>
      </c>
      <c r="Z449" t="s">
        <v>155</v>
      </c>
      <c r="AE449">
        <v>10</v>
      </c>
      <c r="AF449" t="s">
        <v>155</v>
      </c>
      <c r="AI449">
        <v>22</v>
      </c>
      <c r="AL449" t="s">
        <v>155</v>
      </c>
      <c r="AO449" t="s">
        <v>155</v>
      </c>
      <c r="AR449" t="s">
        <v>155</v>
      </c>
      <c r="AU449" t="s">
        <v>155</v>
      </c>
      <c r="AX449" t="s">
        <v>155</v>
      </c>
      <c r="BA449" t="s">
        <v>155</v>
      </c>
      <c r="BD449" t="s">
        <v>155</v>
      </c>
      <c r="BI449">
        <v>0.09</v>
      </c>
    </row>
    <row r="450" spans="1:61" x14ac:dyDescent="0.2">
      <c r="A450" t="s">
        <v>1139</v>
      </c>
      <c r="B450" t="s">
        <v>1140</v>
      </c>
      <c r="C450" t="s">
        <v>158</v>
      </c>
      <c r="D450" t="s">
        <v>159</v>
      </c>
      <c r="E450" s="1" t="s">
        <v>8</v>
      </c>
      <c r="F450" s="1" t="s">
        <v>140</v>
      </c>
      <c r="G450" t="s">
        <v>1141</v>
      </c>
      <c r="H450" t="s">
        <v>155</v>
      </c>
      <c r="M450">
        <v>0.5</v>
      </c>
      <c r="N450">
        <v>83</v>
      </c>
      <c r="S450">
        <v>4</v>
      </c>
      <c r="T450" t="s">
        <v>155</v>
      </c>
      <c r="W450">
        <v>24</v>
      </c>
      <c r="Z450" t="s">
        <v>155</v>
      </c>
      <c r="AC450" t="s">
        <v>155</v>
      </c>
      <c r="AF450" t="s">
        <v>155</v>
      </c>
      <c r="AI450">
        <v>24</v>
      </c>
      <c r="AL450" t="s">
        <v>155</v>
      </c>
      <c r="AO450" t="s">
        <v>155</v>
      </c>
      <c r="AR450" t="s">
        <v>155</v>
      </c>
      <c r="AU450" t="s">
        <v>155</v>
      </c>
      <c r="AX450" t="s">
        <v>155</v>
      </c>
      <c r="BA450" t="s">
        <v>155</v>
      </c>
      <c r="BD450" t="s">
        <v>155</v>
      </c>
      <c r="BI450">
        <v>0.1</v>
      </c>
    </row>
    <row r="451" spans="1:61" x14ac:dyDescent="0.2">
      <c r="A451" t="s">
        <v>1139</v>
      </c>
      <c r="B451" t="s">
        <v>1140</v>
      </c>
      <c r="C451" t="s">
        <v>158</v>
      </c>
      <c r="D451" t="s">
        <v>159</v>
      </c>
      <c r="E451" s="1" t="s">
        <v>8</v>
      </c>
      <c r="F451" s="1" t="s">
        <v>141</v>
      </c>
      <c r="G451" t="s">
        <v>1142</v>
      </c>
      <c r="H451" t="s">
        <v>155</v>
      </c>
      <c r="M451">
        <v>5</v>
      </c>
      <c r="N451">
        <v>150</v>
      </c>
      <c r="S451">
        <v>3</v>
      </c>
      <c r="T451" t="s">
        <v>155</v>
      </c>
      <c r="W451">
        <v>25</v>
      </c>
      <c r="Z451" t="s">
        <v>155</v>
      </c>
      <c r="AC451" t="s">
        <v>155</v>
      </c>
      <c r="AF451" t="s">
        <v>155</v>
      </c>
      <c r="AI451">
        <v>19</v>
      </c>
      <c r="AL451" t="s">
        <v>155</v>
      </c>
      <c r="AO451" t="s">
        <v>155</v>
      </c>
      <c r="AR451" t="s">
        <v>155</v>
      </c>
      <c r="AU451" t="s">
        <v>155</v>
      </c>
      <c r="AX451" t="s">
        <v>155</v>
      </c>
      <c r="BA451" t="s">
        <v>155</v>
      </c>
      <c r="BD451" t="s">
        <v>155</v>
      </c>
      <c r="BI451">
        <v>0.1</v>
      </c>
    </row>
    <row r="452" spans="1:61" x14ac:dyDescent="0.2">
      <c r="A452" s="10" t="s">
        <v>1143</v>
      </c>
      <c r="B452" s="10" t="s">
        <v>1144</v>
      </c>
      <c r="C452" s="10" t="s">
        <v>128</v>
      </c>
      <c r="D452" s="10" t="s">
        <v>129</v>
      </c>
      <c r="E452" s="11" t="s">
        <v>168</v>
      </c>
      <c r="F452" s="11" t="s">
        <v>140</v>
      </c>
      <c r="G452" s="10" t="s">
        <v>1145</v>
      </c>
      <c r="H452">
        <v>27000</v>
      </c>
      <c r="M452">
        <v>4</v>
      </c>
      <c r="O452" s="16">
        <f>(95*3.99)</f>
        <v>379.05</v>
      </c>
      <c r="S452">
        <v>0.52</v>
      </c>
      <c r="V452">
        <v>610</v>
      </c>
      <c r="X452" s="16">
        <f>(92*1.29)</f>
        <v>118.68</v>
      </c>
      <c r="Z452">
        <v>13</v>
      </c>
      <c r="AE452">
        <v>40</v>
      </c>
      <c r="AF452">
        <v>49000</v>
      </c>
      <c r="AI452">
        <v>23</v>
      </c>
      <c r="AM452" s="16">
        <f>(2000*1.23)</f>
        <v>2460</v>
      </c>
      <c r="AP452" s="16">
        <f>(370*1.24)</f>
        <v>458.8</v>
      </c>
      <c r="AT452">
        <v>20</v>
      </c>
      <c r="AV452" s="16">
        <f>(2100*17.49)</f>
        <v>36729</v>
      </c>
      <c r="AZ452">
        <v>80</v>
      </c>
      <c r="BB452" s="16">
        <f>(130*1.34)</f>
        <v>174.20000000000002</v>
      </c>
      <c r="BE452" s="16">
        <f>(49*1.5)</f>
        <v>73.5</v>
      </c>
      <c r="BI452">
        <v>0.12</v>
      </c>
    </row>
    <row r="453" spans="1:61" x14ac:dyDescent="0.2">
      <c r="A453" s="10" t="s">
        <v>1143</v>
      </c>
      <c r="B453" s="10" t="s">
        <v>1144</v>
      </c>
      <c r="C453" s="10" t="s">
        <v>128</v>
      </c>
      <c r="D453" s="10" t="s">
        <v>129</v>
      </c>
      <c r="E453" s="11" t="s">
        <v>168</v>
      </c>
      <c r="F453" s="11" t="s">
        <v>141</v>
      </c>
      <c r="G453" s="10" t="s">
        <v>1146</v>
      </c>
      <c r="H453">
        <v>23000</v>
      </c>
      <c r="M453">
        <v>4.4000000000000004</v>
      </c>
      <c r="O453" s="16">
        <f>(53*3.99)</f>
        <v>211.47</v>
      </c>
      <c r="S453">
        <v>0.61</v>
      </c>
      <c r="V453">
        <v>30</v>
      </c>
      <c r="X453" s="16">
        <f>(33*1.29)</f>
        <v>42.57</v>
      </c>
      <c r="Z453">
        <v>7.7</v>
      </c>
      <c r="AD453" s="16">
        <f>(87*1.22)</f>
        <v>106.14</v>
      </c>
      <c r="AF453">
        <v>44000</v>
      </c>
      <c r="AI453">
        <v>17</v>
      </c>
      <c r="AM453" s="16">
        <f>(3100*1.23)</f>
        <v>3813</v>
      </c>
      <c r="AP453" s="16">
        <f>(170*1.24)</f>
        <v>210.8</v>
      </c>
      <c r="AT453">
        <v>20</v>
      </c>
      <c r="AV453" s="16">
        <f>(3400*17.49)</f>
        <v>59465.999999999993</v>
      </c>
      <c r="AZ453">
        <v>110</v>
      </c>
      <c r="BB453" s="16">
        <f>(120*1.34)</f>
        <v>160.80000000000001</v>
      </c>
      <c r="BE453" s="16">
        <f>(40*1.5)</f>
        <v>60</v>
      </c>
      <c r="BI453">
        <v>0.09</v>
      </c>
    </row>
    <row r="454" spans="1:61" x14ac:dyDescent="0.2">
      <c r="A454" s="10" t="s">
        <v>1143</v>
      </c>
      <c r="B454" s="10" t="s">
        <v>1144</v>
      </c>
      <c r="C454" s="10" t="s">
        <v>128</v>
      </c>
      <c r="D454" s="10" t="s">
        <v>129</v>
      </c>
      <c r="E454" s="11" t="s">
        <v>168</v>
      </c>
      <c r="F454" s="11" t="s">
        <v>153</v>
      </c>
      <c r="G454" s="10" t="s">
        <v>644</v>
      </c>
      <c r="H454">
        <v>11000</v>
      </c>
      <c r="M454">
        <v>3.7</v>
      </c>
      <c r="O454" s="16">
        <f>(69*3.99)</f>
        <v>275.31</v>
      </c>
      <c r="S454">
        <v>0.66</v>
      </c>
      <c r="V454">
        <v>290</v>
      </c>
      <c r="X454" s="16">
        <f>(38*1.29)</f>
        <v>49.02</v>
      </c>
      <c r="Z454">
        <v>8.1999999999999993</v>
      </c>
      <c r="AE454">
        <v>20</v>
      </c>
      <c r="AF454">
        <v>15000</v>
      </c>
      <c r="AI454">
        <v>7.5</v>
      </c>
      <c r="AM454" s="16">
        <f>(2100*1.23)</f>
        <v>2583</v>
      </c>
      <c r="AP454" s="16">
        <f>(220*1.24)</f>
        <v>272.8</v>
      </c>
      <c r="AT454">
        <v>20</v>
      </c>
      <c r="AV454" s="16">
        <f>(2400*17.49)</f>
        <v>41975.999999999993</v>
      </c>
      <c r="AZ454">
        <v>230</v>
      </c>
      <c r="BB454" s="16">
        <f>(30*1.34)</f>
        <v>40.200000000000003</v>
      </c>
      <c r="BE454" s="16">
        <f>(40*1.5)</f>
        <v>60</v>
      </c>
      <c r="BI454">
        <v>0.11</v>
      </c>
    </row>
    <row r="455" spans="1:61" ht="16" x14ac:dyDescent="0.2">
      <c r="A455" s="18" t="s">
        <v>1147</v>
      </c>
      <c r="B455" s="10" t="s">
        <v>1148</v>
      </c>
      <c r="C455" s="10" t="s">
        <v>298</v>
      </c>
      <c r="D455" s="10" t="s">
        <v>299</v>
      </c>
      <c r="E455" s="11"/>
      <c r="F455" s="11" t="s">
        <v>140</v>
      </c>
      <c r="G455" s="10" t="s">
        <v>1149</v>
      </c>
      <c r="H455">
        <v>17000</v>
      </c>
      <c r="M455">
        <v>3</v>
      </c>
      <c r="N455">
        <v>61</v>
      </c>
      <c r="S455">
        <v>0.49</v>
      </c>
      <c r="T455">
        <v>740</v>
      </c>
      <c r="X455" s="16">
        <f>(47*1.29)</f>
        <v>60.63</v>
      </c>
      <c r="Z455">
        <v>9.9</v>
      </c>
      <c r="AE455">
        <v>20</v>
      </c>
      <c r="AF455">
        <v>30000</v>
      </c>
      <c r="AK455">
        <v>10</v>
      </c>
      <c r="AL455">
        <v>1600</v>
      </c>
      <c r="AP455" s="16">
        <f>(340*1.24)</f>
        <v>421.6</v>
      </c>
      <c r="AR455">
        <v>6.8</v>
      </c>
      <c r="AW455">
        <v>720</v>
      </c>
      <c r="AX455">
        <v>22</v>
      </c>
      <c r="BA455">
        <v>70</v>
      </c>
      <c r="BD455">
        <v>30</v>
      </c>
      <c r="BI455">
        <v>0.15</v>
      </c>
    </row>
    <row r="456" spans="1:61" ht="16" x14ac:dyDescent="0.2">
      <c r="A456" s="18" t="s">
        <v>1147</v>
      </c>
      <c r="B456" s="10" t="s">
        <v>1148</v>
      </c>
      <c r="C456" s="10" t="s">
        <v>298</v>
      </c>
      <c r="D456" s="10" t="s">
        <v>299</v>
      </c>
      <c r="E456" s="11"/>
      <c r="F456" s="11" t="s">
        <v>141</v>
      </c>
      <c r="G456" s="10" t="s">
        <v>1150</v>
      </c>
      <c r="H456">
        <v>86000</v>
      </c>
      <c r="M456">
        <v>1</v>
      </c>
      <c r="N456">
        <v>51</v>
      </c>
      <c r="S456">
        <v>0.48</v>
      </c>
      <c r="T456">
        <v>480</v>
      </c>
      <c r="X456" s="16">
        <f>(32*1.29)</f>
        <v>41.28</v>
      </c>
      <c r="Z456">
        <v>9</v>
      </c>
      <c r="AC456">
        <v>9.3000000000000007</v>
      </c>
      <c r="AF456">
        <v>14000</v>
      </c>
      <c r="AK456">
        <v>10</v>
      </c>
      <c r="AL456">
        <v>1100</v>
      </c>
      <c r="AP456" s="16">
        <f>(490*1.24)</f>
        <v>607.6</v>
      </c>
      <c r="AR456">
        <v>5.4</v>
      </c>
      <c r="AW456">
        <v>170</v>
      </c>
      <c r="AX456">
        <v>66</v>
      </c>
      <c r="BA456">
        <v>41</v>
      </c>
      <c r="BD456">
        <v>16</v>
      </c>
      <c r="BI456">
        <v>0.13</v>
      </c>
    </row>
    <row r="457" spans="1:61" ht="16" x14ac:dyDescent="0.2">
      <c r="A457" s="18" t="s">
        <v>1147</v>
      </c>
      <c r="B457" s="10" t="s">
        <v>1148</v>
      </c>
      <c r="C457" s="10" t="s">
        <v>298</v>
      </c>
      <c r="D457" s="10" t="s">
        <v>299</v>
      </c>
      <c r="E457" s="11"/>
      <c r="F457" s="11" t="s">
        <v>153</v>
      </c>
      <c r="G457" s="10" t="s">
        <v>1151</v>
      </c>
      <c r="H457">
        <v>6000</v>
      </c>
      <c r="M457">
        <v>1</v>
      </c>
      <c r="N457">
        <v>65</v>
      </c>
      <c r="S457">
        <v>0.47</v>
      </c>
      <c r="T457">
        <v>1200</v>
      </c>
      <c r="X457" s="16">
        <f>(14*1.29)</f>
        <v>18.060000000000002</v>
      </c>
      <c r="Z457">
        <v>6.4</v>
      </c>
      <c r="AC457">
        <v>10</v>
      </c>
      <c r="AF457">
        <v>13000</v>
      </c>
      <c r="AK457">
        <v>4</v>
      </c>
      <c r="AL457">
        <v>3600</v>
      </c>
      <c r="AP457" s="16">
        <f>(650*1.24)</f>
        <v>806</v>
      </c>
      <c r="AR457">
        <v>6.5</v>
      </c>
      <c r="AU457">
        <v>2700</v>
      </c>
      <c r="AX457">
        <v>25</v>
      </c>
      <c r="BA457">
        <v>18</v>
      </c>
      <c r="BD457">
        <v>51</v>
      </c>
      <c r="BI457">
        <v>0.11</v>
      </c>
    </row>
    <row r="458" spans="1:61" ht="16" x14ac:dyDescent="0.2">
      <c r="A458" s="18" t="s">
        <v>1152</v>
      </c>
      <c r="B458" s="10" t="s">
        <v>1153</v>
      </c>
      <c r="C458" s="10" t="s">
        <v>1035</v>
      </c>
      <c r="D458" s="10" t="s">
        <v>264</v>
      </c>
      <c r="E458" s="11"/>
      <c r="F458" s="11" t="s">
        <v>140</v>
      </c>
      <c r="G458" s="10" t="s">
        <v>1149</v>
      </c>
      <c r="H458">
        <v>1100</v>
      </c>
      <c r="M458">
        <v>2</v>
      </c>
      <c r="N458">
        <v>5.6</v>
      </c>
      <c r="S458">
        <v>0.64</v>
      </c>
      <c r="V458">
        <v>150</v>
      </c>
      <c r="Y458">
        <v>2</v>
      </c>
      <c r="AB458">
        <v>0.85</v>
      </c>
      <c r="AE458">
        <v>3</v>
      </c>
      <c r="AF458">
        <v>940</v>
      </c>
      <c r="AI458">
        <v>4.2</v>
      </c>
      <c r="AN458">
        <v>70</v>
      </c>
      <c r="AO458">
        <v>3.4</v>
      </c>
      <c r="AT458">
        <v>1.3</v>
      </c>
      <c r="AW458">
        <v>30</v>
      </c>
      <c r="AZ458">
        <v>30</v>
      </c>
      <c r="BA458">
        <v>3</v>
      </c>
      <c r="BF458">
        <v>3</v>
      </c>
      <c r="BI458">
        <v>0.09</v>
      </c>
    </row>
    <row r="459" spans="1:61" ht="16" x14ac:dyDescent="0.2">
      <c r="A459" s="18" t="s">
        <v>1152</v>
      </c>
      <c r="B459" s="10" t="s">
        <v>1153</v>
      </c>
      <c r="C459" s="10" t="s">
        <v>1035</v>
      </c>
      <c r="D459" s="10" t="s">
        <v>264</v>
      </c>
      <c r="E459" s="11"/>
      <c r="F459" s="11" t="s">
        <v>141</v>
      </c>
      <c r="G459" s="10" t="s">
        <v>1150</v>
      </c>
      <c r="H459">
        <v>1700</v>
      </c>
      <c r="L459" s="16">
        <f>(8.3*1.74)</f>
        <v>14.442000000000002</v>
      </c>
      <c r="N459">
        <v>75</v>
      </c>
      <c r="S459">
        <v>0.63</v>
      </c>
      <c r="U459" s="16">
        <f>(2900*1.28)</f>
        <v>3712</v>
      </c>
      <c r="W459">
        <v>25</v>
      </c>
      <c r="AB459">
        <v>0.84</v>
      </c>
      <c r="AC459">
        <v>20</v>
      </c>
      <c r="AF459">
        <v>18000</v>
      </c>
      <c r="AI459">
        <v>2.9</v>
      </c>
      <c r="AL459">
        <v>270</v>
      </c>
      <c r="AO459">
        <v>16</v>
      </c>
      <c r="AT459">
        <v>2</v>
      </c>
      <c r="AW459">
        <v>50</v>
      </c>
      <c r="AZ459">
        <v>60</v>
      </c>
      <c r="BA459">
        <v>85</v>
      </c>
      <c r="BF459">
        <v>9</v>
      </c>
      <c r="BI459">
        <v>0.11</v>
      </c>
    </row>
    <row r="460" spans="1:61" x14ac:dyDescent="0.2">
      <c r="A460" t="s">
        <v>1152</v>
      </c>
      <c r="B460" t="s">
        <v>1154</v>
      </c>
      <c r="C460" t="s">
        <v>1035</v>
      </c>
      <c r="D460" t="s">
        <v>1155</v>
      </c>
      <c r="F460" s="1" t="s">
        <v>153</v>
      </c>
      <c r="G460" t="s">
        <v>1151</v>
      </c>
      <c r="H460">
        <v>6900</v>
      </c>
      <c r="M460">
        <v>3</v>
      </c>
      <c r="N460">
        <v>63</v>
      </c>
      <c r="Q460" t="s">
        <v>155</v>
      </c>
      <c r="U460" s="16">
        <f>(590*1.28)</f>
        <v>755.2</v>
      </c>
      <c r="W460">
        <v>12</v>
      </c>
      <c r="Z460">
        <v>6.2</v>
      </c>
      <c r="AC460">
        <v>9</v>
      </c>
      <c r="AF460">
        <v>9800</v>
      </c>
      <c r="AI460">
        <v>17</v>
      </c>
      <c r="AL460">
        <v>740</v>
      </c>
      <c r="AO460">
        <v>270</v>
      </c>
      <c r="AR460">
        <v>4.9000000000000004</v>
      </c>
      <c r="AW460">
        <v>380</v>
      </c>
      <c r="AX460" t="s">
        <v>155</v>
      </c>
      <c r="BA460">
        <v>21</v>
      </c>
      <c r="BD460">
        <v>39</v>
      </c>
      <c r="BG460" t="s">
        <v>155</v>
      </c>
    </row>
    <row r="461" spans="1:61" ht="16" x14ac:dyDescent="0.2">
      <c r="A461" s="15" t="s">
        <v>1156</v>
      </c>
      <c r="B461" t="s">
        <v>1157</v>
      </c>
      <c r="C461" t="s">
        <v>1158</v>
      </c>
      <c r="D461" t="s">
        <v>167</v>
      </c>
      <c r="F461" s="1" t="s">
        <v>140</v>
      </c>
      <c r="G461" t="s">
        <v>1159</v>
      </c>
      <c r="H461" t="s">
        <v>155</v>
      </c>
      <c r="M461">
        <v>0.05</v>
      </c>
      <c r="N461">
        <v>10</v>
      </c>
      <c r="S461">
        <v>2.5</v>
      </c>
      <c r="T461" t="s">
        <v>155</v>
      </c>
      <c r="Y461">
        <v>2.5</v>
      </c>
      <c r="Z461" t="s">
        <v>155</v>
      </c>
      <c r="AC461" t="s">
        <v>155</v>
      </c>
      <c r="AF461" t="s">
        <v>155</v>
      </c>
      <c r="AK461">
        <v>5</v>
      </c>
      <c r="AL461" t="s">
        <v>155</v>
      </c>
      <c r="AO461" t="s">
        <v>155</v>
      </c>
      <c r="AR461" t="s">
        <v>155</v>
      </c>
      <c r="AU461" t="s">
        <v>155</v>
      </c>
      <c r="AX461" t="s">
        <v>155</v>
      </c>
      <c r="BA461" t="s">
        <v>155</v>
      </c>
      <c r="BD461" t="s">
        <v>155</v>
      </c>
      <c r="BI461">
        <v>0.1</v>
      </c>
    </row>
    <row r="462" spans="1:61" ht="16" x14ac:dyDescent="0.2">
      <c r="A462" s="15" t="s">
        <v>1156</v>
      </c>
      <c r="B462" t="s">
        <v>1157</v>
      </c>
      <c r="C462" t="s">
        <v>1158</v>
      </c>
      <c r="D462" t="s">
        <v>167</v>
      </c>
      <c r="F462" s="1" t="s">
        <v>140</v>
      </c>
      <c r="G462" t="s">
        <v>1160</v>
      </c>
      <c r="H462" t="s">
        <v>155</v>
      </c>
      <c r="M462">
        <v>2</v>
      </c>
      <c r="N462">
        <v>15</v>
      </c>
      <c r="S462">
        <v>2.5</v>
      </c>
      <c r="T462" t="s">
        <v>155</v>
      </c>
      <c r="W462">
        <v>4</v>
      </c>
      <c r="Z462" t="s">
        <v>155</v>
      </c>
      <c r="AC462" t="s">
        <v>155</v>
      </c>
      <c r="AF462" t="s">
        <v>155</v>
      </c>
      <c r="AI462">
        <v>15</v>
      </c>
      <c r="AL462" t="s">
        <v>155</v>
      </c>
      <c r="AO462" t="s">
        <v>155</v>
      </c>
      <c r="AR462" t="s">
        <v>155</v>
      </c>
      <c r="AU462" t="s">
        <v>155</v>
      </c>
      <c r="AX462" t="s">
        <v>155</v>
      </c>
      <c r="BA462" t="s">
        <v>155</v>
      </c>
      <c r="BD462" t="s">
        <v>155</v>
      </c>
      <c r="BI462">
        <v>0.1</v>
      </c>
    </row>
    <row r="463" spans="1:61" ht="16" x14ac:dyDescent="0.2">
      <c r="A463" s="15" t="s">
        <v>1156</v>
      </c>
      <c r="B463" t="s">
        <v>1157</v>
      </c>
      <c r="C463" t="s">
        <v>1158</v>
      </c>
      <c r="D463" t="s">
        <v>167</v>
      </c>
      <c r="F463" s="1" t="s">
        <v>140</v>
      </c>
      <c r="G463" t="s">
        <v>1161</v>
      </c>
      <c r="H463" t="s">
        <v>155</v>
      </c>
      <c r="M463">
        <v>0.5</v>
      </c>
      <c r="N463">
        <v>15</v>
      </c>
      <c r="S463">
        <v>2.5</v>
      </c>
      <c r="T463" t="s">
        <v>155</v>
      </c>
      <c r="W463">
        <v>7.5</v>
      </c>
      <c r="Z463" t="s">
        <v>155</v>
      </c>
      <c r="AC463" t="s">
        <v>155</v>
      </c>
      <c r="AF463" t="s">
        <v>155</v>
      </c>
      <c r="AI463">
        <v>5</v>
      </c>
      <c r="AL463" t="s">
        <v>155</v>
      </c>
      <c r="AO463" t="s">
        <v>155</v>
      </c>
      <c r="AR463" t="s">
        <v>155</v>
      </c>
      <c r="AU463" t="s">
        <v>155</v>
      </c>
      <c r="AX463" t="s">
        <v>155</v>
      </c>
      <c r="BA463" t="s">
        <v>155</v>
      </c>
      <c r="BD463" t="s">
        <v>155</v>
      </c>
      <c r="BI463">
        <v>0.1</v>
      </c>
    </row>
    <row r="464" spans="1:61" x14ac:dyDescent="0.2">
      <c r="A464" s="10" t="s">
        <v>1162</v>
      </c>
      <c r="B464" s="10" t="s">
        <v>1163</v>
      </c>
      <c r="C464" s="10" t="s">
        <v>1164</v>
      </c>
      <c r="D464" s="10" t="s">
        <v>152</v>
      </c>
      <c r="E464" s="11" t="s">
        <v>8</v>
      </c>
      <c r="F464" s="11" t="s">
        <v>140</v>
      </c>
      <c r="G464" s="10" t="s">
        <v>1165</v>
      </c>
      <c r="H464">
        <v>10000</v>
      </c>
      <c r="M464">
        <v>1.4</v>
      </c>
      <c r="N464">
        <v>41</v>
      </c>
      <c r="S464">
        <v>1.1000000000000001</v>
      </c>
      <c r="T464">
        <v>760</v>
      </c>
      <c r="W464">
        <v>39</v>
      </c>
      <c r="Z464">
        <v>6.1</v>
      </c>
      <c r="AE464">
        <v>7</v>
      </c>
      <c r="AF464">
        <v>15000</v>
      </c>
      <c r="AK464">
        <v>20</v>
      </c>
      <c r="AL464">
        <v>530</v>
      </c>
      <c r="AO464">
        <v>92</v>
      </c>
      <c r="AS464" s="16">
        <f>(9.3*1.35)</f>
        <v>12.555000000000001</v>
      </c>
      <c r="AW464">
        <v>390</v>
      </c>
      <c r="AZ464">
        <v>30</v>
      </c>
      <c r="BA464">
        <v>44</v>
      </c>
      <c r="BD464">
        <v>40</v>
      </c>
      <c r="BI464">
        <v>0.11</v>
      </c>
    </row>
    <row r="465" spans="1:61" x14ac:dyDescent="0.2">
      <c r="A465" s="10" t="s">
        <v>1162</v>
      </c>
      <c r="B465" s="10" t="s">
        <v>1163</v>
      </c>
      <c r="C465" s="10" t="s">
        <v>1164</v>
      </c>
      <c r="D465" s="10" t="s">
        <v>152</v>
      </c>
      <c r="E465" s="11" t="s">
        <v>8</v>
      </c>
      <c r="F465" s="11" t="s">
        <v>141</v>
      </c>
      <c r="G465" s="10" t="s">
        <v>672</v>
      </c>
      <c r="H465">
        <v>61000</v>
      </c>
      <c r="L465" s="16">
        <f>(2.4*1.74)</f>
        <v>4.1760000000000002</v>
      </c>
      <c r="N465">
        <v>260</v>
      </c>
      <c r="S465">
        <v>1.1000000000000001</v>
      </c>
      <c r="V465">
        <v>70</v>
      </c>
      <c r="W465">
        <v>70</v>
      </c>
      <c r="Z465">
        <v>42</v>
      </c>
      <c r="AE465">
        <v>8</v>
      </c>
      <c r="AF465">
        <v>50000</v>
      </c>
      <c r="AJ465" s="16">
        <f>(98*1.44)</f>
        <v>141.12</v>
      </c>
      <c r="AL465">
        <v>10000</v>
      </c>
      <c r="AO465">
        <v>640</v>
      </c>
      <c r="AT465">
        <v>40</v>
      </c>
      <c r="AW465">
        <v>12000</v>
      </c>
      <c r="AZ465">
        <v>200</v>
      </c>
      <c r="BA465">
        <v>95</v>
      </c>
      <c r="BD465">
        <v>110</v>
      </c>
      <c r="BI465">
        <v>0.12</v>
      </c>
    </row>
    <row r="466" spans="1:61" x14ac:dyDescent="0.2">
      <c r="A466" t="s">
        <v>1166</v>
      </c>
      <c r="B466" t="s">
        <v>1167</v>
      </c>
      <c r="C466" t="s">
        <v>204</v>
      </c>
      <c r="D466" t="s">
        <v>204</v>
      </c>
      <c r="E466" s="1" t="s">
        <v>8</v>
      </c>
      <c r="F466" s="1" t="s">
        <v>140</v>
      </c>
      <c r="G466" t="s">
        <v>1168</v>
      </c>
      <c r="H466" t="s">
        <v>155</v>
      </c>
      <c r="M466">
        <v>2</v>
      </c>
      <c r="N466">
        <v>270</v>
      </c>
      <c r="S466">
        <v>16</v>
      </c>
      <c r="T466" t="s">
        <v>155</v>
      </c>
      <c r="Y466">
        <v>39</v>
      </c>
      <c r="Z466" t="s">
        <v>155</v>
      </c>
      <c r="AC466">
        <v>35</v>
      </c>
      <c r="AF466" t="s">
        <v>155</v>
      </c>
      <c r="AI466">
        <v>580</v>
      </c>
      <c r="AL466" t="s">
        <v>155</v>
      </c>
      <c r="AO466" t="s">
        <v>155</v>
      </c>
      <c r="AR466" t="s">
        <v>155</v>
      </c>
      <c r="AU466" t="s">
        <v>155</v>
      </c>
      <c r="AX466" t="s">
        <v>155</v>
      </c>
      <c r="BA466" t="s">
        <v>155</v>
      </c>
      <c r="BD466" t="s">
        <v>155</v>
      </c>
      <c r="BG466">
        <v>0.12</v>
      </c>
    </row>
    <row r="467" spans="1:61" x14ac:dyDescent="0.2">
      <c r="A467" t="s">
        <v>1169</v>
      </c>
      <c r="B467" t="s">
        <v>1170</v>
      </c>
      <c r="C467" t="s">
        <v>460</v>
      </c>
      <c r="D467" t="s">
        <v>461</v>
      </c>
      <c r="E467" s="1" t="s">
        <v>8</v>
      </c>
      <c r="F467" s="1" t="s">
        <v>140</v>
      </c>
      <c r="G467" t="s">
        <v>1171</v>
      </c>
      <c r="H467" t="s">
        <v>155</v>
      </c>
      <c r="M467">
        <v>5</v>
      </c>
      <c r="N467">
        <v>14</v>
      </c>
      <c r="S467">
        <v>2.4</v>
      </c>
      <c r="T467" t="s">
        <v>155</v>
      </c>
      <c r="W467">
        <v>22</v>
      </c>
      <c r="Z467" t="s">
        <v>155</v>
      </c>
      <c r="AC467" t="s">
        <v>155</v>
      </c>
      <c r="AF467" t="s">
        <v>155</v>
      </c>
      <c r="AI467">
        <v>5</v>
      </c>
      <c r="AL467" t="s">
        <v>155</v>
      </c>
      <c r="AO467" t="s">
        <v>155</v>
      </c>
      <c r="AR467" t="s">
        <v>155</v>
      </c>
      <c r="AU467" t="s">
        <v>155</v>
      </c>
      <c r="AX467" t="s">
        <v>155</v>
      </c>
      <c r="BA467" t="s">
        <v>155</v>
      </c>
      <c r="BD467" t="s">
        <v>155</v>
      </c>
      <c r="BI467">
        <v>0.1</v>
      </c>
    </row>
    <row r="468" spans="1:61" x14ac:dyDescent="0.2">
      <c r="A468" t="s">
        <v>1172</v>
      </c>
      <c r="B468" t="s">
        <v>1173</v>
      </c>
      <c r="C468" t="s">
        <v>579</v>
      </c>
      <c r="D468" t="s">
        <v>379</v>
      </c>
      <c r="E468" s="1" t="s">
        <v>168</v>
      </c>
      <c r="F468" s="1" t="s">
        <v>141</v>
      </c>
      <c r="G468" t="s">
        <v>1174</v>
      </c>
      <c r="H468" t="s">
        <v>155</v>
      </c>
      <c r="M468">
        <v>0.72</v>
      </c>
      <c r="N468" t="s">
        <v>155</v>
      </c>
      <c r="S468">
        <v>0.21</v>
      </c>
      <c r="T468" t="s">
        <v>155</v>
      </c>
      <c r="W468">
        <v>5.3</v>
      </c>
      <c r="Z468" t="s">
        <v>155</v>
      </c>
      <c r="AC468">
        <v>3</v>
      </c>
      <c r="AF468">
        <v>8300</v>
      </c>
      <c r="AI468">
        <v>12</v>
      </c>
      <c r="AL468" t="s">
        <v>155</v>
      </c>
      <c r="AO468">
        <v>96</v>
      </c>
      <c r="AR468">
        <v>1.5</v>
      </c>
      <c r="AU468" t="s">
        <v>155</v>
      </c>
      <c r="AX468" t="s">
        <v>155</v>
      </c>
      <c r="BA468" t="s">
        <v>155</v>
      </c>
      <c r="BD468">
        <v>21</v>
      </c>
      <c r="BI468">
        <v>2.5000000000000001E-2</v>
      </c>
    </row>
    <row r="469" spans="1:61" x14ac:dyDescent="0.2">
      <c r="A469" t="s">
        <v>1172</v>
      </c>
      <c r="B469" t="s">
        <v>1173</v>
      </c>
      <c r="C469" t="s">
        <v>579</v>
      </c>
      <c r="D469" t="s">
        <v>379</v>
      </c>
      <c r="E469" s="1" t="s">
        <v>168</v>
      </c>
      <c r="F469" s="1" t="s">
        <v>141</v>
      </c>
      <c r="G469" t="s">
        <v>1175</v>
      </c>
      <c r="H469" t="s">
        <v>155</v>
      </c>
      <c r="M469">
        <v>0.9</v>
      </c>
      <c r="N469" t="s">
        <v>155</v>
      </c>
      <c r="S469">
        <v>0.26</v>
      </c>
      <c r="T469" t="s">
        <v>155</v>
      </c>
      <c r="W469">
        <v>11</v>
      </c>
      <c r="Z469" t="s">
        <v>155</v>
      </c>
      <c r="AC469">
        <v>7.7</v>
      </c>
      <c r="AF469">
        <v>29000</v>
      </c>
      <c r="AI469">
        <v>18</v>
      </c>
      <c r="AL469" t="s">
        <v>155</v>
      </c>
      <c r="AO469">
        <v>130</v>
      </c>
      <c r="AR469">
        <v>3.3</v>
      </c>
      <c r="AU469" t="s">
        <v>155</v>
      </c>
      <c r="AX469" t="s">
        <v>155</v>
      </c>
      <c r="BA469" t="s">
        <v>155</v>
      </c>
      <c r="BD469">
        <v>49</v>
      </c>
      <c r="BG469">
        <v>0.12</v>
      </c>
    </row>
    <row r="470" spans="1:61" x14ac:dyDescent="0.2">
      <c r="A470" t="s">
        <v>1172</v>
      </c>
      <c r="B470" t="s">
        <v>1173</v>
      </c>
      <c r="C470" t="s">
        <v>579</v>
      </c>
      <c r="D470" t="s">
        <v>379</v>
      </c>
      <c r="E470" s="1" t="s">
        <v>168</v>
      </c>
      <c r="F470" s="1" t="s">
        <v>141</v>
      </c>
      <c r="G470" t="s">
        <v>1176</v>
      </c>
      <c r="H470" t="s">
        <v>155</v>
      </c>
      <c r="M470">
        <v>0.75</v>
      </c>
      <c r="N470" t="s">
        <v>155</v>
      </c>
      <c r="S470">
        <v>0.22</v>
      </c>
      <c r="T470" t="s">
        <v>155</v>
      </c>
      <c r="W470">
        <v>3.3</v>
      </c>
      <c r="Z470" t="s">
        <v>155</v>
      </c>
      <c r="AE470">
        <v>0.45</v>
      </c>
      <c r="AF470">
        <v>11000</v>
      </c>
      <c r="AI470">
        <v>12</v>
      </c>
      <c r="AL470" t="s">
        <v>155</v>
      </c>
      <c r="AO470">
        <v>220</v>
      </c>
      <c r="AR470">
        <v>1.9</v>
      </c>
      <c r="AU470" t="s">
        <v>155</v>
      </c>
      <c r="AX470" t="s">
        <v>155</v>
      </c>
      <c r="BA470" t="s">
        <v>155</v>
      </c>
      <c r="BD470">
        <v>56</v>
      </c>
      <c r="BI470">
        <v>9.7000000000000003E-3</v>
      </c>
    </row>
    <row r="471" spans="1:61" x14ac:dyDescent="0.2">
      <c r="A471" t="s">
        <v>1172</v>
      </c>
      <c r="B471" t="s">
        <v>1173</v>
      </c>
      <c r="C471" t="s">
        <v>579</v>
      </c>
      <c r="D471" t="s">
        <v>379</v>
      </c>
      <c r="E471" s="1" t="s">
        <v>168</v>
      </c>
      <c r="F471" s="1" t="s">
        <v>141</v>
      </c>
      <c r="G471" t="s">
        <v>1177</v>
      </c>
      <c r="H471" t="s">
        <v>155</v>
      </c>
      <c r="L471" s="16">
        <f>(3.3*1.74)</f>
        <v>5.742</v>
      </c>
      <c r="N471" t="s">
        <v>155</v>
      </c>
      <c r="S471">
        <v>0.23</v>
      </c>
      <c r="T471" t="s">
        <v>155</v>
      </c>
      <c r="W471">
        <v>9.6999999999999993</v>
      </c>
      <c r="Z471" t="s">
        <v>155</v>
      </c>
      <c r="AC471">
        <v>10</v>
      </c>
      <c r="AF471" t="s">
        <v>155</v>
      </c>
      <c r="AI471">
        <v>11</v>
      </c>
      <c r="AL471" t="s">
        <v>155</v>
      </c>
      <c r="AO471" t="s">
        <v>155</v>
      </c>
      <c r="AR471">
        <v>0.01</v>
      </c>
      <c r="AU471" t="s">
        <v>155</v>
      </c>
      <c r="AX471" t="s">
        <v>155</v>
      </c>
      <c r="BA471" t="s">
        <v>155</v>
      </c>
      <c r="BD471">
        <v>98</v>
      </c>
      <c r="BI471">
        <v>0.01</v>
      </c>
    </row>
    <row r="472" spans="1:61" x14ac:dyDescent="0.2">
      <c r="A472" t="s">
        <v>1172</v>
      </c>
      <c r="B472" t="s">
        <v>1173</v>
      </c>
      <c r="C472" t="s">
        <v>579</v>
      </c>
      <c r="D472" t="s">
        <v>379</v>
      </c>
      <c r="E472" s="1" t="s">
        <v>168</v>
      </c>
      <c r="F472" s="1" t="s">
        <v>153</v>
      </c>
      <c r="G472" t="s">
        <v>1178</v>
      </c>
      <c r="H472" t="s">
        <v>155</v>
      </c>
      <c r="K472" t="s">
        <v>155</v>
      </c>
      <c r="N472" t="s">
        <v>155</v>
      </c>
      <c r="S472">
        <v>0.24</v>
      </c>
      <c r="T472" t="s">
        <v>155</v>
      </c>
      <c r="W472" t="s">
        <v>155</v>
      </c>
      <c r="Z472" t="s">
        <v>155</v>
      </c>
      <c r="AC472" t="s">
        <v>155</v>
      </c>
      <c r="AF472" t="s">
        <v>155</v>
      </c>
      <c r="AI472">
        <v>6.2</v>
      </c>
      <c r="AL472" t="s">
        <v>155</v>
      </c>
      <c r="AO472" t="s">
        <v>155</v>
      </c>
      <c r="AR472" t="s">
        <v>155</v>
      </c>
      <c r="AU472" t="s">
        <v>155</v>
      </c>
      <c r="AX472" t="s">
        <v>155</v>
      </c>
      <c r="BA472" t="s">
        <v>155</v>
      </c>
      <c r="BD472">
        <v>20</v>
      </c>
      <c r="BI472">
        <v>1.0999999999999999E-2</v>
      </c>
    </row>
    <row r="473" spans="1:61" x14ac:dyDescent="0.2">
      <c r="A473" t="s">
        <v>1172</v>
      </c>
      <c r="B473" t="s">
        <v>1173</v>
      </c>
      <c r="C473" t="s">
        <v>579</v>
      </c>
      <c r="D473" t="s">
        <v>379</v>
      </c>
      <c r="E473" s="1" t="s">
        <v>168</v>
      </c>
      <c r="F473" s="1" t="s">
        <v>153</v>
      </c>
      <c r="G473" t="s">
        <v>1179</v>
      </c>
      <c r="H473" t="s">
        <v>155</v>
      </c>
      <c r="K473" t="s">
        <v>155</v>
      </c>
      <c r="N473" t="s">
        <v>155</v>
      </c>
      <c r="S473">
        <v>2.4E-2</v>
      </c>
      <c r="T473" t="s">
        <v>155</v>
      </c>
      <c r="W473" t="s">
        <v>155</v>
      </c>
      <c r="Z473" t="s">
        <v>155</v>
      </c>
      <c r="AC473" t="s">
        <v>155</v>
      </c>
      <c r="AF473" t="s">
        <v>155</v>
      </c>
      <c r="AI473">
        <v>9.6</v>
      </c>
      <c r="AL473" t="s">
        <v>155</v>
      </c>
      <c r="AO473" t="s">
        <v>155</v>
      </c>
      <c r="AR473" t="s">
        <v>155</v>
      </c>
      <c r="AU473" t="s">
        <v>155</v>
      </c>
      <c r="AX473" t="s">
        <v>155</v>
      </c>
      <c r="BA473" t="s">
        <v>155</v>
      </c>
      <c r="BD473">
        <v>42</v>
      </c>
      <c r="BI473">
        <v>1.0999999999999999E-2</v>
      </c>
    </row>
    <row r="474" spans="1:61" x14ac:dyDescent="0.2">
      <c r="A474" t="s">
        <v>1172</v>
      </c>
      <c r="B474" t="s">
        <v>1173</v>
      </c>
      <c r="C474" t="s">
        <v>579</v>
      </c>
      <c r="D474" t="s">
        <v>379</v>
      </c>
      <c r="E474" s="1" t="s">
        <v>168</v>
      </c>
      <c r="F474" s="1" t="s">
        <v>153</v>
      </c>
      <c r="G474" t="s">
        <v>1180</v>
      </c>
      <c r="H474" t="s">
        <v>155</v>
      </c>
      <c r="K474">
        <v>0.53</v>
      </c>
      <c r="N474" t="s">
        <v>155</v>
      </c>
      <c r="Q474" t="s">
        <v>155</v>
      </c>
      <c r="T474" t="s">
        <v>155</v>
      </c>
      <c r="W474" t="s">
        <v>155</v>
      </c>
      <c r="Z474" t="s">
        <v>155</v>
      </c>
      <c r="AC474" t="s">
        <v>155</v>
      </c>
      <c r="AF474">
        <v>5800</v>
      </c>
      <c r="AI474" t="s">
        <v>155</v>
      </c>
      <c r="AL474" t="s">
        <v>155</v>
      </c>
      <c r="AO474">
        <v>110</v>
      </c>
      <c r="AR474" t="s">
        <v>155</v>
      </c>
      <c r="AU474" t="s">
        <v>155</v>
      </c>
      <c r="AX474" t="s">
        <v>155</v>
      </c>
      <c r="BA474" t="s">
        <v>155</v>
      </c>
      <c r="BD474" t="s">
        <v>155</v>
      </c>
      <c r="BG474" t="s">
        <v>155</v>
      </c>
    </row>
    <row r="475" spans="1:61" x14ac:dyDescent="0.2">
      <c r="A475" t="s">
        <v>1172</v>
      </c>
      <c r="B475" t="s">
        <v>1173</v>
      </c>
      <c r="C475" t="s">
        <v>579</v>
      </c>
      <c r="D475" t="s">
        <v>379</v>
      </c>
      <c r="E475" s="1" t="s">
        <v>168</v>
      </c>
      <c r="F475" s="1" t="s">
        <v>153</v>
      </c>
      <c r="G475" t="s">
        <v>1181</v>
      </c>
      <c r="H475" t="s">
        <v>155</v>
      </c>
      <c r="K475">
        <v>2.1</v>
      </c>
      <c r="N475" t="s">
        <v>155</v>
      </c>
      <c r="Q475" t="s">
        <v>155</v>
      </c>
      <c r="T475" t="s">
        <v>155</v>
      </c>
      <c r="W475" t="s">
        <v>155</v>
      </c>
      <c r="Z475" t="s">
        <v>155</v>
      </c>
      <c r="AC475" t="s">
        <v>155</v>
      </c>
      <c r="AF475">
        <v>4270</v>
      </c>
      <c r="AI475" t="s">
        <v>155</v>
      </c>
      <c r="AL475" t="s">
        <v>155</v>
      </c>
      <c r="AO475">
        <v>160</v>
      </c>
      <c r="AR475" t="s">
        <v>155</v>
      </c>
      <c r="AU475" t="s">
        <v>155</v>
      </c>
      <c r="AX475" t="s">
        <v>155</v>
      </c>
      <c r="BA475" t="s">
        <v>155</v>
      </c>
      <c r="BD475" t="s">
        <v>155</v>
      </c>
      <c r="BG475" t="s">
        <v>155</v>
      </c>
    </row>
    <row r="476" spans="1:61" x14ac:dyDescent="0.2">
      <c r="A476" t="s">
        <v>1172</v>
      </c>
      <c r="B476" t="s">
        <v>1173</v>
      </c>
      <c r="C476" t="s">
        <v>579</v>
      </c>
      <c r="D476" t="s">
        <v>379</v>
      </c>
      <c r="E476" s="1" t="s">
        <v>168</v>
      </c>
      <c r="F476" s="1" t="s">
        <v>153</v>
      </c>
      <c r="G476" t="s">
        <v>1182</v>
      </c>
      <c r="H476" t="s">
        <v>155</v>
      </c>
      <c r="K476" t="s">
        <v>155</v>
      </c>
      <c r="N476" t="s">
        <v>155</v>
      </c>
      <c r="Q476" t="s">
        <v>155</v>
      </c>
      <c r="T476" t="s">
        <v>155</v>
      </c>
      <c r="W476" t="s">
        <v>155</v>
      </c>
      <c r="Z476" t="s">
        <v>155</v>
      </c>
      <c r="AC476" t="s">
        <v>155</v>
      </c>
      <c r="AF476">
        <v>2950</v>
      </c>
      <c r="AI476" t="s">
        <v>155</v>
      </c>
      <c r="AL476" t="s">
        <v>155</v>
      </c>
      <c r="AO476">
        <v>160</v>
      </c>
      <c r="AR476" t="s">
        <v>155</v>
      </c>
      <c r="AU476" t="s">
        <v>155</v>
      </c>
      <c r="AX476" t="s">
        <v>155</v>
      </c>
      <c r="BA476" t="s">
        <v>155</v>
      </c>
      <c r="BD476" t="s">
        <v>155</v>
      </c>
      <c r="BG476" t="s">
        <v>155</v>
      </c>
    </row>
    <row r="477" spans="1:61" x14ac:dyDescent="0.2">
      <c r="A477" t="s">
        <v>1172</v>
      </c>
      <c r="B477" t="s">
        <v>1173</v>
      </c>
      <c r="C477" t="s">
        <v>579</v>
      </c>
      <c r="D477" t="s">
        <v>379</v>
      </c>
      <c r="E477" s="1" t="s">
        <v>168</v>
      </c>
      <c r="F477" s="1" t="s">
        <v>153</v>
      </c>
      <c r="G477" t="s">
        <v>1183</v>
      </c>
      <c r="H477" t="s">
        <v>155</v>
      </c>
      <c r="K477" t="s">
        <v>155</v>
      </c>
      <c r="N477" t="s">
        <v>155</v>
      </c>
      <c r="Q477" t="s">
        <v>155</v>
      </c>
      <c r="T477" t="s">
        <v>155</v>
      </c>
      <c r="W477" t="s">
        <v>155</v>
      </c>
      <c r="Z477" t="s">
        <v>155</v>
      </c>
      <c r="AC477" t="s">
        <v>155</v>
      </c>
      <c r="AF477">
        <v>4270</v>
      </c>
      <c r="AI477" t="s">
        <v>155</v>
      </c>
      <c r="AL477" t="s">
        <v>155</v>
      </c>
      <c r="AO477">
        <v>85.4</v>
      </c>
      <c r="AR477" t="s">
        <v>155</v>
      </c>
      <c r="AU477" t="s">
        <v>155</v>
      </c>
      <c r="AX477" t="s">
        <v>155</v>
      </c>
      <c r="BA477" t="s">
        <v>155</v>
      </c>
      <c r="BD477" t="s">
        <v>155</v>
      </c>
      <c r="BG477" t="s">
        <v>155</v>
      </c>
    </row>
    <row r="478" spans="1:61" ht="16" x14ac:dyDescent="0.2">
      <c r="A478" s="15" t="s">
        <v>1184</v>
      </c>
      <c r="B478" t="s">
        <v>1185</v>
      </c>
      <c r="C478" t="s">
        <v>303</v>
      </c>
      <c r="D478" t="s">
        <v>304</v>
      </c>
      <c r="E478" s="1" t="s">
        <v>168</v>
      </c>
      <c r="F478" s="1" t="s">
        <v>140</v>
      </c>
      <c r="G478" t="s">
        <v>1186</v>
      </c>
      <c r="H478" t="s">
        <v>155</v>
      </c>
      <c r="K478">
        <v>0.05</v>
      </c>
      <c r="N478">
        <v>20</v>
      </c>
      <c r="S478">
        <v>2.5</v>
      </c>
      <c r="T478" t="s">
        <v>155</v>
      </c>
      <c r="W478">
        <v>172</v>
      </c>
      <c r="Z478" t="s">
        <v>155</v>
      </c>
      <c r="AC478" t="s">
        <v>155</v>
      </c>
      <c r="AF478" t="s">
        <v>155</v>
      </c>
      <c r="AI478">
        <v>20</v>
      </c>
      <c r="AL478" t="s">
        <v>155</v>
      </c>
      <c r="AO478" t="s">
        <v>155</v>
      </c>
      <c r="AR478" t="s">
        <v>155</v>
      </c>
      <c r="AU478" t="s">
        <v>155</v>
      </c>
      <c r="AX478" t="s">
        <v>155</v>
      </c>
      <c r="BA478" t="s">
        <v>155</v>
      </c>
      <c r="BD478" t="s">
        <v>155</v>
      </c>
      <c r="BI478">
        <v>0.1</v>
      </c>
    </row>
    <row r="479" spans="1:61" x14ac:dyDescent="0.2">
      <c r="A479" s="10" t="s">
        <v>1187</v>
      </c>
      <c r="B479" s="10" t="s">
        <v>1188</v>
      </c>
      <c r="C479" s="10" t="s">
        <v>460</v>
      </c>
      <c r="D479" s="10" t="s">
        <v>461</v>
      </c>
      <c r="E479" s="11" t="s">
        <v>8</v>
      </c>
      <c r="F479" s="11" t="s">
        <v>140</v>
      </c>
      <c r="G479" s="10" t="s">
        <v>1189</v>
      </c>
      <c r="H479">
        <v>3960</v>
      </c>
      <c r="K479">
        <v>13.4</v>
      </c>
      <c r="N479">
        <v>29</v>
      </c>
      <c r="Q479">
        <v>0.22</v>
      </c>
      <c r="T479">
        <v>279</v>
      </c>
      <c r="W479">
        <v>21</v>
      </c>
      <c r="Z479">
        <v>5.6</v>
      </c>
      <c r="AC479">
        <v>42.4</v>
      </c>
      <c r="AF479">
        <v>23000</v>
      </c>
      <c r="AI479">
        <v>29.6</v>
      </c>
      <c r="AL479">
        <v>134</v>
      </c>
      <c r="AO479">
        <v>168</v>
      </c>
      <c r="AR479">
        <v>4.4000000000000004</v>
      </c>
      <c r="AU479">
        <v>183</v>
      </c>
      <c r="AX479">
        <v>47.2</v>
      </c>
      <c r="BA479">
        <v>40.700000000000003</v>
      </c>
      <c r="BD479">
        <v>69.2</v>
      </c>
      <c r="BI479">
        <v>8.1000000000000003E-2</v>
      </c>
    </row>
    <row r="480" spans="1:61" x14ac:dyDescent="0.2">
      <c r="A480" t="s">
        <v>1187</v>
      </c>
      <c r="B480" t="s">
        <v>1188</v>
      </c>
      <c r="C480" t="s">
        <v>460</v>
      </c>
      <c r="D480" t="s">
        <v>461</v>
      </c>
      <c r="E480" s="1" t="s">
        <v>8</v>
      </c>
      <c r="F480" s="1" t="s">
        <v>140</v>
      </c>
      <c r="G480" t="s">
        <v>1190</v>
      </c>
      <c r="H480">
        <v>12000</v>
      </c>
      <c r="K480">
        <v>14</v>
      </c>
      <c r="N480">
        <v>62</v>
      </c>
      <c r="S480">
        <v>9.8000000000000007</v>
      </c>
      <c r="T480" t="s">
        <v>155</v>
      </c>
      <c r="W480">
        <v>14</v>
      </c>
      <c r="Z480" t="s">
        <v>155</v>
      </c>
      <c r="AC480">
        <v>100</v>
      </c>
      <c r="AF480" t="s">
        <v>155</v>
      </c>
      <c r="AI480">
        <v>42</v>
      </c>
      <c r="AL480" t="s">
        <v>155</v>
      </c>
      <c r="AO480" t="s">
        <v>155</v>
      </c>
      <c r="AR480">
        <v>21</v>
      </c>
      <c r="AU480" t="s">
        <v>155</v>
      </c>
      <c r="AX480" t="s">
        <v>155</v>
      </c>
      <c r="BA480" t="s">
        <v>155</v>
      </c>
      <c r="BD480">
        <v>190</v>
      </c>
      <c r="BI480">
        <v>0.1</v>
      </c>
    </row>
    <row r="481" spans="1:61" x14ac:dyDescent="0.2">
      <c r="A481" t="s">
        <v>1187</v>
      </c>
      <c r="B481" t="s">
        <v>1188</v>
      </c>
      <c r="C481" t="s">
        <v>460</v>
      </c>
      <c r="D481" t="s">
        <v>461</v>
      </c>
      <c r="E481" s="1" t="s">
        <v>8</v>
      </c>
      <c r="F481" s="1" t="s">
        <v>140</v>
      </c>
      <c r="G481" t="s">
        <v>1191</v>
      </c>
      <c r="H481">
        <v>9000</v>
      </c>
      <c r="K481">
        <v>5.9</v>
      </c>
      <c r="N481">
        <v>45</v>
      </c>
      <c r="S481">
        <v>9.8000000000000007</v>
      </c>
      <c r="T481" t="s">
        <v>155</v>
      </c>
      <c r="W481">
        <v>14</v>
      </c>
      <c r="Z481" t="s">
        <v>155</v>
      </c>
      <c r="AC481">
        <v>170</v>
      </c>
      <c r="AF481" t="s">
        <v>155</v>
      </c>
      <c r="AI481">
        <v>80</v>
      </c>
      <c r="AL481" t="s">
        <v>155</v>
      </c>
      <c r="AO481" t="s">
        <v>155</v>
      </c>
      <c r="AR481">
        <v>16</v>
      </c>
      <c r="AU481" t="s">
        <v>155</v>
      </c>
      <c r="AX481" t="s">
        <v>155</v>
      </c>
      <c r="BA481" t="s">
        <v>155</v>
      </c>
      <c r="BD481">
        <v>280</v>
      </c>
      <c r="BI481">
        <v>0.1</v>
      </c>
    </row>
    <row r="482" spans="1:61" x14ac:dyDescent="0.2">
      <c r="A482" t="s">
        <v>1187</v>
      </c>
      <c r="B482" t="s">
        <v>1188</v>
      </c>
      <c r="C482" t="s">
        <v>460</v>
      </c>
      <c r="D482" t="s">
        <v>461</v>
      </c>
      <c r="E482" s="1" t="s">
        <v>8</v>
      </c>
      <c r="F482" s="1" t="s">
        <v>140</v>
      </c>
      <c r="G482" t="s">
        <v>1192</v>
      </c>
      <c r="H482">
        <v>7000</v>
      </c>
      <c r="M482">
        <v>3.9</v>
      </c>
      <c r="N482">
        <v>120</v>
      </c>
      <c r="S482">
        <v>9.8000000000000007</v>
      </c>
      <c r="T482" t="s">
        <v>155</v>
      </c>
      <c r="Y482">
        <v>9.8000000000000007</v>
      </c>
      <c r="Z482" t="s">
        <v>155</v>
      </c>
      <c r="AC482">
        <v>25</v>
      </c>
      <c r="AF482" t="s">
        <v>155</v>
      </c>
      <c r="AI482">
        <v>25</v>
      </c>
      <c r="AL482" t="s">
        <v>155</v>
      </c>
      <c r="AO482" t="s">
        <v>155</v>
      </c>
      <c r="AT482">
        <v>9.8000000000000007</v>
      </c>
      <c r="AU482" t="s">
        <v>155</v>
      </c>
      <c r="AX482" t="s">
        <v>155</v>
      </c>
      <c r="BA482" t="s">
        <v>155</v>
      </c>
      <c r="BD482">
        <v>90</v>
      </c>
      <c r="BI482">
        <v>0.1</v>
      </c>
    </row>
    <row r="483" spans="1:61" x14ac:dyDescent="0.2">
      <c r="A483" t="s">
        <v>1193</v>
      </c>
      <c r="B483" t="s">
        <v>1194</v>
      </c>
      <c r="C483" t="s">
        <v>180</v>
      </c>
      <c r="D483" t="s">
        <v>135</v>
      </c>
      <c r="E483" s="1" t="s">
        <v>8</v>
      </c>
      <c r="F483" s="1" t="s">
        <v>141</v>
      </c>
      <c r="G483" t="s">
        <v>999</v>
      </c>
      <c r="I483" s="16">
        <f>(12000*1.66)</f>
        <v>19920</v>
      </c>
      <c r="K483" t="s">
        <v>155</v>
      </c>
      <c r="N483">
        <v>17</v>
      </c>
      <c r="R483" s="16">
        <f>(3.2*1.41)</f>
        <v>4.5119999999999996</v>
      </c>
      <c r="T483">
        <v>56</v>
      </c>
      <c r="X483" s="16">
        <f>(40*1.29)</f>
        <v>51.6</v>
      </c>
      <c r="AA483" s="16">
        <f>(15*1.25)</f>
        <v>18.75</v>
      </c>
      <c r="AC483">
        <v>22</v>
      </c>
      <c r="AG483" s="16">
        <f>(29000*1.34)</f>
        <v>38860</v>
      </c>
      <c r="AJ483" s="16">
        <f>(3.1*1.44)</f>
        <v>4.4639999999999995</v>
      </c>
      <c r="AN483">
        <v>280</v>
      </c>
      <c r="AP483" s="16">
        <f>(60*1.24)</f>
        <v>74.400000000000006</v>
      </c>
      <c r="AT483">
        <v>8.4</v>
      </c>
      <c r="AU483">
        <v>79</v>
      </c>
      <c r="AZ483">
        <v>30</v>
      </c>
      <c r="BB483" s="16">
        <f>(140*1.34)</f>
        <v>187.60000000000002</v>
      </c>
      <c r="BF483">
        <v>30</v>
      </c>
      <c r="BI483">
        <v>0.12</v>
      </c>
    </row>
    <row r="484" spans="1:61" ht="16" x14ac:dyDescent="0.2">
      <c r="A484" s="18" t="s">
        <v>1195</v>
      </c>
      <c r="B484" s="10" t="s">
        <v>1196</v>
      </c>
      <c r="C484" s="10" t="s">
        <v>1197</v>
      </c>
      <c r="D484" s="10" t="s">
        <v>1198</v>
      </c>
      <c r="E484" s="11" t="s">
        <v>168</v>
      </c>
      <c r="F484" s="11" t="s">
        <v>153</v>
      </c>
      <c r="G484" s="10" t="s">
        <v>1199</v>
      </c>
      <c r="I484" s="16">
        <f>(310*1.66)</f>
        <v>514.6</v>
      </c>
      <c r="M484">
        <v>2</v>
      </c>
      <c r="P484">
        <v>2</v>
      </c>
      <c r="S484">
        <v>0.09</v>
      </c>
      <c r="U484" s="16">
        <f>(1300*1.28)</f>
        <v>1664</v>
      </c>
      <c r="W484">
        <v>1.4</v>
      </c>
      <c r="AB484">
        <v>0.36</v>
      </c>
      <c r="AE484">
        <v>3</v>
      </c>
      <c r="AF484">
        <v>1000</v>
      </c>
      <c r="AJ484" s="20">
        <v>11</v>
      </c>
      <c r="AM484" s="16">
        <f>(370*1.23)</f>
        <v>455.09999999999997</v>
      </c>
      <c r="AO484">
        <v>5.0999999999999996</v>
      </c>
      <c r="AT484">
        <v>0.51</v>
      </c>
      <c r="AU484">
        <v>130</v>
      </c>
      <c r="AX484">
        <v>990</v>
      </c>
      <c r="BB484" s="16">
        <f>(3.6*1.34)</f>
        <v>4.8240000000000007</v>
      </c>
      <c r="BD484">
        <v>13</v>
      </c>
      <c r="BI484">
        <v>0.16</v>
      </c>
    </row>
    <row r="485" spans="1:61" x14ac:dyDescent="0.2">
      <c r="A485" s="10" t="s">
        <v>1195</v>
      </c>
      <c r="B485" s="10" t="s">
        <v>1196</v>
      </c>
      <c r="C485" s="10" t="s">
        <v>1197</v>
      </c>
      <c r="D485" s="10" t="s">
        <v>1198</v>
      </c>
      <c r="E485" s="11" t="s">
        <v>168</v>
      </c>
      <c r="F485" s="11" t="s">
        <v>153</v>
      </c>
      <c r="G485" s="10" t="s">
        <v>1200</v>
      </c>
      <c r="I485" s="16">
        <f>(770*1.66)</f>
        <v>1278.2</v>
      </c>
      <c r="M485">
        <v>1.6</v>
      </c>
      <c r="P485">
        <v>4</v>
      </c>
      <c r="S485">
        <v>0.16</v>
      </c>
      <c r="U485" s="16">
        <f>(35000*1.28)</f>
        <v>44800</v>
      </c>
      <c r="W485">
        <v>6.5</v>
      </c>
      <c r="AB485">
        <v>1</v>
      </c>
      <c r="AE485">
        <v>7</v>
      </c>
      <c r="AF485">
        <v>6100</v>
      </c>
      <c r="AJ485" s="16">
        <v>14</v>
      </c>
      <c r="AM485" s="16">
        <f>(540*1.23)</f>
        <v>664.2</v>
      </c>
      <c r="AO485">
        <v>46</v>
      </c>
      <c r="AT485">
        <v>2</v>
      </c>
      <c r="AU485">
        <v>160</v>
      </c>
      <c r="AX485">
        <v>780</v>
      </c>
      <c r="BB485" s="16">
        <f>(20*1.34)</f>
        <v>26.8</v>
      </c>
      <c r="BD485">
        <v>20</v>
      </c>
      <c r="BI485">
        <v>0.28000000000000003</v>
      </c>
    </row>
    <row r="486" spans="1:61" x14ac:dyDescent="0.2">
      <c r="A486" s="10" t="s">
        <v>1195</v>
      </c>
      <c r="B486" s="10" t="s">
        <v>1196</v>
      </c>
      <c r="C486" s="10" t="s">
        <v>1197</v>
      </c>
      <c r="D486" s="10" t="s">
        <v>1198</v>
      </c>
      <c r="E486" s="11" t="s">
        <v>168</v>
      </c>
      <c r="F486" s="11" t="s">
        <v>153</v>
      </c>
      <c r="G486" s="10" t="s">
        <v>1201</v>
      </c>
      <c r="I486" s="16">
        <f>(1500*1.66)</f>
        <v>2490</v>
      </c>
      <c r="M486">
        <v>2</v>
      </c>
      <c r="N486">
        <v>5.6</v>
      </c>
      <c r="S486">
        <v>0.09</v>
      </c>
      <c r="U486" s="16">
        <f>(15000*1.28)</f>
        <v>19200</v>
      </c>
      <c r="W486">
        <v>5.4</v>
      </c>
      <c r="Z486">
        <v>0.87</v>
      </c>
      <c r="AE486">
        <v>4</v>
      </c>
      <c r="AF486">
        <v>3000</v>
      </c>
      <c r="AJ486" s="16">
        <v>5.2</v>
      </c>
      <c r="AM486" s="16">
        <f>(870*1.23)</f>
        <v>1070.0999999999999</v>
      </c>
      <c r="AO486">
        <v>26</v>
      </c>
      <c r="AT486">
        <v>2</v>
      </c>
      <c r="AU486">
        <v>340</v>
      </c>
      <c r="AX486">
        <v>340</v>
      </c>
      <c r="BB486" s="16">
        <f>(4.8*1.34)</f>
        <v>6.4320000000000004</v>
      </c>
      <c r="BD486">
        <v>19</v>
      </c>
      <c r="BI486">
        <v>0.15</v>
      </c>
    </row>
    <row r="487" spans="1:61" x14ac:dyDescent="0.2">
      <c r="A487" t="s">
        <v>1195</v>
      </c>
      <c r="B487" t="s">
        <v>1196</v>
      </c>
      <c r="C487" t="s">
        <v>1197</v>
      </c>
      <c r="D487" t="s">
        <v>1198</v>
      </c>
      <c r="E487" s="1" t="s">
        <v>168</v>
      </c>
      <c r="F487" s="1" t="s">
        <v>140</v>
      </c>
      <c r="G487" t="s">
        <v>1202</v>
      </c>
      <c r="I487" s="16">
        <f>(480*1.66)</f>
        <v>796.8</v>
      </c>
      <c r="M487">
        <v>1</v>
      </c>
      <c r="N487">
        <v>1.9</v>
      </c>
      <c r="S487">
        <v>0.06</v>
      </c>
      <c r="T487" t="s">
        <v>155</v>
      </c>
      <c r="W487">
        <v>3.3</v>
      </c>
      <c r="AB487">
        <v>1</v>
      </c>
      <c r="AE487">
        <v>2</v>
      </c>
      <c r="AF487">
        <v>1200</v>
      </c>
      <c r="AJ487" s="16">
        <f>(4.2*1.44)</f>
        <v>6.048</v>
      </c>
      <c r="AN487">
        <v>150</v>
      </c>
      <c r="AO487">
        <v>21</v>
      </c>
      <c r="AT487">
        <v>2</v>
      </c>
      <c r="AU487">
        <v>79</v>
      </c>
      <c r="AX487">
        <v>55</v>
      </c>
      <c r="BA487">
        <v>4.7</v>
      </c>
      <c r="BD487">
        <v>8.9</v>
      </c>
      <c r="BG487">
        <v>0.13</v>
      </c>
    </row>
    <row r="488" spans="1:61" x14ac:dyDescent="0.2">
      <c r="A488" s="10" t="s">
        <v>1195</v>
      </c>
      <c r="B488" s="10" t="s">
        <v>1196</v>
      </c>
      <c r="C488" s="10" t="s">
        <v>1197</v>
      </c>
      <c r="D488" s="10" t="s">
        <v>1198</v>
      </c>
      <c r="E488" s="11" t="s">
        <v>168</v>
      </c>
      <c r="F488" s="11" t="s">
        <v>141</v>
      </c>
      <c r="G488" s="10" t="s">
        <v>1203</v>
      </c>
      <c r="I488" s="16">
        <f>(440*1.66)</f>
        <v>730.4</v>
      </c>
      <c r="M488">
        <v>1</v>
      </c>
      <c r="P488">
        <v>2</v>
      </c>
      <c r="S488">
        <v>0.6</v>
      </c>
      <c r="V488">
        <v>160</v>
      </c>
      <c r="W488">
        <v>1.8</v>
      </c>
      <c r="AB488">
        <v>1</v>
      </c>
      <c r="AE488">
        <v>1</v>
      </c>
      <c r="AF488">
        <v>960</v>
      </c>
      <c r="AJ488" s="16">
        <f>(3.7*1.44)</f>
        <v>5.3280000000000003</v>
      </c>
      <c r="AN488">
        <v>130</v>
      </c>
      <c r="AO488">
        <v>8.8000000000000007</v>
      </c>
      <c r="AT488">
        <v>1</v>
      </c>
      <c r="AU488">
        <v>84</v>
      </c>
      <c r="AZ488">
        <v>30.5</v>
      </c>
      <c r="BA488">
        <v>1.9</v>
      </c>
      <c r="BD488">
        <v>6.1</v>
      </c>
      <c r="BI488">
        <v>0.1</v>
      </c>
    </row>
    <row r="489" spans="1:61" ht="16" x14ac:dyDescent="0.2">
      <c r="A489" s="15" t="s">
        <v>1204</v>
      </c>
      <c r="B489" t="s">
        <v>1205</v>
      </c>
      <c r="C489" t="s">
        <v>1206</v>
      </c>
      <c r="D489" t="s">
        <v>1068</v>
      </c>
      <c r="F489" s="1" t="s">
        <v>140</v>
      </c>
      <c r="G489" t="s">
        <v>581</v>
      </c>
      <c r="H489" s="13" t="s">
        <v>155</v>
      </c>
      <c r="K489">
        <v>2</v>
      </c>
      <c r="N489">
        <v>88</v>
      </c>
      <c r="S489">
        <v>4</v>
      </c>
      <c r="T489" t="s">
        <v>155</v>
      </c>
      <c r="W489">
        <v>48</v>
      </c>
      <c r="Z489" t="s">
        <v>155</v>
      </c>
      <c r="AC489" t="s">
        <v>155</v>
      </c>
      <c r="AF489" t="s">
        <v>155</v>
      </c>
      <c r="AI489">
        <v>125</v>
      </c>
      <c r="AL489" t="s">
        <v>155</v>
      </c>
      <c r="AO489" t="s">
        <v>155</v>
      </c>
      <c r="AR489" t="s">
        <v>155</v>
      </c>
      <c r="AU489" t="s">
        <v>155</v>
      </c>
      <c r="AX489" t="s">
        <v>155</v>
      </c>
      <c r="BA489" t="s">
        <v>155</v>
      </c>
      <c r="BD489" t="s">
        <v>155</v>
      </c>
      <c r="BG489">
        <v>0.15</v>
      </c>
    </row>
    <row r="490" spans="1:61" ht="16" x14ac:dyDescent="0.2">
      <c r="A490" s="15" t="s">
        <v>1207</v>
      </c>
      <c r="B490" t="s">
        <v>1208</v>
      </c>
      <c r="C490" t="s">
        <v>1209</v>
      </c>
      <c r="D490" t="s">
        <v>627</v>
      </c>
      <c r="E490" s="1" t="s">
        <v>8</v>
      </c>
      <c r="F490" s="1" t="s">
        <v>139</v>
      </c>
      <c r="G490" t="s">
        <v>1210</v>
      </c>
      <c r="H490" t="s">
        <v>155</v>
      </c>
      <c r="M490">
        <v>2</v>
      </c>
      <c r="N490">
        <v>22</v>
      </c>
      <c r="S490">
        <v>15</v>
      </c>
      <c r="T490" t="s">
        <v>155</v>
      </c>
      <c r="Y490">
        <v>36</v>
      </c>
      <c r="Z490" t="s">
        <v>155</v>
      </c>
      <c r="AC490" t="s">
        <v>155</v>
      </c>
      <c r="AF490" t="s">
        <v>155</v>
      </c>
      <c r="AK490">
        <v>18</v>
      </c>
      <c r="AL490" t="s">
        <v>155</v>
      </c>
      <c r="AO490" t="s">
        <v>155</v>
      </c>
      <c r="AR490" t="s">
        <v>155</v>
      </c>
      <c r="AU490" t="s">
        <v>155</v>
      </c>
      <c r="AX490" t="s">
        <v>155</v>
      </c>
      <c r="BA490" t="s">
        <v>155</v>
      </c>
      <c r="BD490" t="s">
        <v>155</v>
      </c>
      <c r="BI490">
        <v>0.09</v>
      </c>
    </row>
    <row r="491" spans="1:61" ht="16" x14ac:dyDescent="0.2">
      <c r="A491" s="15" t="s">
        <v>1207</v>
      </c>
      <c r="B491" t="s">
        <v>1208</v>
      </c>
      <c r="C491" t="s">
        <v>1209</v>
      </c>
      <c r="D491" t="s">
        <v>627</v>
      </c>
      <c r="E491" s="1" t="s">
        <v>8</v>
      </c>
      <c r="F491" s="1" t="s">
        <v>141</v>
      </c>
      <c r="G491" t="s">
        <v>1211</v>
      </c>
      <c r="H491" t="s">
        <v>155</v>
      </c>
      <c r="K491">
        <v>2</v>
      </c>
      <c r="N491">
        <v>25</v>
      </c>
      <c r="S491">
        <v>15</v>
      </c>
      <c r="T491" t="s">
        <v>155</v>
      </c>
      <c r="Y491">
        <v>38</v>
      </c>
      <c r="Z491" t="s">
        <v>155</v>
      </c>
      <c r="AC491" t="s">
        <v>155</v>
      </c>
      <c r="AF491" t="s">
        <v>155</v>
      </c>
      <c r="AK491">
        <v>19</v>
      </c>
      <c r="AL491" t="s">
        <v>155</v>
      </c>
      <c r="AO491" t="s">
        <v>155</v>
      </c>
      <c r="AR491" t="s">
        <v>155</v>
      </c>
      <c r="AU491" t="s">
        <v>155</v>
      </c>
      <c r="AX491" t="s">
        <v>155</v>
      </c>
      <c r="BA491" t="s">
        <v>155</v>
      </c>
      <c r="BD491" t="s">
        <v>155</v>
      </c>
      <c r="BI491">
        <v>0.09</v>
      </c>
    </row>
    <row r="492" spans="1:61" ht="16" x14ac:dyDescent="0.2">
      <c r="A492" s="15" t="s">
        <v>1207</v>
      </c>
      <c r="B492" t="s">
        <v>1208</v>
      </c>
      <c r="C492" t="s">
        <v>1209</v>
      </c>
      <c r="D492" t="s">
        <v>627</v>
      </c>
      <c r="E492" s="1" t="s">
        <v>8</v>
      </c>
      <c r="F492" s="1" t="s">
        <v>140</v>
      </c>
      <c r="G492" t="s">
        <v>1212</v>
      </c>
      <c r="H492" t="s">
        <v>155</v>
      </c>
      <c r="K492">
        <v>2</v>
      </c>
      <c r="N492">
        <v>13</v>
      </c>
      <c r="S492">
        <v>15</v>
      </c>
      <c r="T492" t="s">
        <v>155</v>
      </c>
      <c r="Y492">
        <v>38</v>
      </c>
      <c r="Z492" t="s">
        <v>155</v>
      </c>
      <c r="AC492" t="s">
        <v>155</v>
      </c>
      <c r="AF492" t="s">
        <v>155</v>
      </c>
      <c r="AK492">
        <v>19</v>
      </c>
      <c r="AL492" t="s">
        <v>155</v>
      </c>
      <c r="AO492" t="s">
        <v>155</v>
      </c>
      <c r="AR492" t="s">
        <v>155</v>
      </c>
      <c r="AU492" t="s">
        <v>155</v>
      </c>
      <c r="AX492" t="s">
        <v>155</v>
      </c>
      <c r="BA492" t="s">
        <v>155</v>
      </c>
      <c r="BD492" t="s">
        <v>155</v>
      </c>
      <c r="BI492">
        <v>0.09</v>
      </c>
    </row>
    <row r="493" spans="1:61" ht="16" x14ac:dyDescent="0.2">
      <c r="A493" s="15" t="s">
        <v>1207</v>
      </c>
      <c r="B493" t="s">
        <v>1208</v>
      </c>
      <c r="C493" t="s">
        <v>1209</v>
      </c>
      <c r="D493" t="s">
        <v>627</v>
      </c>
      <c r="E493" s="1" t="s">
        <v>8</v>
      </c>
      <c r="F493" s="1" t="s">
        <v>141</v>
      </c>
      <c r="G493" t="s">
        <v>1213</v>
      </c>
      <c r="H493" t="s">
        <v>155</v>
      </c>
      <c r="M493">
        <v>2</v>
      </c>
      <c r="N493">
        <v>26</v>
      </c>
      <c r="S493">
        <v>14</v>
      </c>
      <c r="T493" t="s">
        <v>155</v>
      </c>
      <c r="Y493">
        <v>34</v>
      </c>
      <c r="Z493" t="s">
        <v>155</v>
      </c>
      <c r="AC493" t="s">
        <v>155</v>
      </c>
      <c r="AF493" t="s">
        <v>155</v>
      </c>
      <c r="AK493">
        <v>17</v>
      </c>
      <c r="AL493" t="s">
        <v>155</v>
      </c>
      <c r="AO493" t="s">
        <v>155</v>
      </c>
      <c r="AR493" t="s">
        <v>155</v>
      </c>
      <c r="AU493" t="s">
        <v>155</v>
      </c>
      <c r="AX493" t="s">
        <v>155</v>
      </c>
      <c r="BA493" t="s">
        <v>155</v>
      </c>
      <c r="BD493" t="s">
        <v>155</v>
      </c>
      <c r="BI493">
        <v>0.09</v>
      </c>
    </row>
    <row r="494" spans="1:61" ht="16" x14ac:dyDescent="0.2">
      <c r="A494" s="15" t="s">
        <v>1207</v>
      </c>
      <c r="B494" t="s">
        <v>1208</v>
      </c>
      <c r="C494" t="s">
        <v>1209</v>
      </c>
      <c r="D494" t="s">
        <v>627</v>
      </c>
      <c r="E494" s="1" t="s">
        <v>8</v>
      </c>
      <c r="F494" s="1" t="s">
        <v>141</v>
      </c>
      <c r="G494" t="s">
        <v>1214</v>
      </c>
      <c r="H494" t="s">
        <v>155</v>
      </c>
      <c r="M494">
        <v>2</v>
      </c>
      <c r="N494">
        <v>25</v>
      </c>
      <c r="S494">
        <v>14</v>
      </c>
      <c r="T494" t="s">
        <v>155</v>
      </c>
      <c r="Y494">
        <v>36</v>
      </c>
      <c r="Z494" t="s">
        <v>155</v>
      </c>
      <c r="AC494" t="s">
        <v>155</v>
      </c>
      <c r="AF494" t="s">
        <v>155</v>
      </c>
      <c r="AI494">
        <v>23</v>
      </c>
      <c r="AL494" t="s">
        <v>155</v>
      </c>
      <c r="AO494" t="s">
        <v>155</v>
      </c>
      <c r="AR494" t="s">
        <v>155</v>
      </c>
      <c r="AU494" t="s">
        <v>155</v>
      </c>
      <c r="AX494" t="s">
        <v>155</v>
      </c>
      <c r="BA494" t="s">
        <v>155</v>
      </c>
      <c r="BD494" t="s">
        <v>155</v>
      </c>
      <c r="BI494">
        <v>0.09</v>
      </c>
    </row>
    <row r="495" spans="1:61" ht="16" x14ac:dyDescent="0.2">
      <c r="A495" s="18" t="s">
        <v>1215</v>
      </c>
      <c r="B495" s="10" t="s">
        <v>1216</v>
      </c>
      <c r="C495" s="10" t="s">
        <v>420</v>
      </c>
      <c r="D495" s="10" t="s">
        <v>132</v>
      </c>
      <c r="E495" s="11" t="s">
        <v>8</v>
      </c>
      <c r="F495" s="11" t="s">
        <v>140</v>
      </c>
      <c r="G495" s="10" t="s">
        <v>1217</v>
      </c>
      <c r="H495">
        <v>15000</v>
      </c>
      <c r="L495" s="16">
        <f>(4.3*1.74)</f>
        <v>7.4819999999999993</v>
      </c>
      <c r="N495">
        <v>79</v>
      </c>
      <c r="S495">
        <v>0.45</v>
      </c>
      <c r="T495">
        <v>780</v>
      </c>
      <c r="W495">
        <v>43</v>
      </c>
      <c r="Z495">
        <v>4.3</v>
      </c>
      <c r="AC495">
        <v>17</v>
      </c>
      <c r="AF495">
        <v>27000</v>
      </c>
      <c r="AI495">
        <v>48</v>
      </c>
      <c r="AL495">
        <v>880</v>
      </c>
      <c r="AO495">
        <v>440</v>
      </c>
      <c r="AR495">
        <v>7.4</v>
      </c>
      <c r="AW495">
        <v>730</v>
      </c>
      <c r="AZ495">
        <v>20</v>
      </c>
      <c r="BB495" s="16">
        <f>(59*1.34)</f>
        <v>79.06</v>
      </c>
      <c r="BD495">
        <v>43</v>
      </c>
      <c r="BI495">
        <v>0.1</v>
      </c>
    </row>
    <row r="496" spans="1:61" ht="16" x14ac:dyDescent="0.2">
      <c r="A496" s="18" t="s">
        <v>1215</v>
      </c>
      <c r="B496" s="10" t="s">
        <v>1216</v>
      </c>
      <c r="C496" s="10" t="s">
        <v>420</v>
      </c>
      <c r="D496" s="10" t="s">
        <v>132</v>
      </c>
      <c r="E496" s="11" t="s">
        <v>8</v>
      </c>
      <c r="F496" s="11" t="s">
        <v>141</v>
      </c>
      <c r="G496" s="10" t="s">
        <v>1218</v>
      </c>
      <c r="H496">
        <v>27000</v>
      </c>
      <c r="M496">
        <v>1</v>
      </c>
      <c r="N496">
        <v>53</v>
      </c>
      <c r="Q496">
        <v>1.7</v>
      </c>
      <c r="T496">
        <v>37</v>
      </c>
      <c r="W496">
        <v>49</v>
      </c>
      <c r="Z496">
        <v>4.5</v>
      </c>
      <c r="AC496">
        <v>46</v>
      </c>
      <c r="AF496">
        <v>91000</v>
      </c>
      <c r="AI496">
        <v>35</v>
      </c>
      <c r="AL496">
        <v>1400</v>
      </c>
      <c r="AO496">
        <v>540</v>
      </c>
      <c r="AR496">
        <v>16</v>
      </c>
      <c r="AW496">
        <v>1500</v>
      </c>
      <c r="AZ496">
        <v>30</v>
      </c>
      <c r="BB496" s="16">
        <f>(200*1.34)</f>
        <v>268</v>
      </c>
      <c r="BD496">
        <v>37</v>
      </c>
      <c r="BI496">
        <v>0.12</v>
      </c>
    </row>
    <row r="497" spans="1:61" x14ac:dyDescent="0.2">
      <c r="A497" t="s">
        <v>1219</v>
      </c>
      <c r="B497" t="s">
        <v>1220</v>
      </c>
      <c r="C497" t="s">
        <v>1221</v>
      </c>
      <c r="D497" t="s">
        <v>1222</v>
      </c>
      <c r="F497" s="1" t="s">
        <v>140</v>
      </c>
      <c r="G497" t="s">
        <v>1223</v>
      </c>
      <c r="H497" t="s">
        <v>155</v>
      </c>
      <c r="M497">
        <v>2</v>
      </c>
      <c r="N497">
        <v>49</v>
      </c>
      <c r="S497">
        <v>16</v>
      </c>
      <c r="T497" t="s">
        <v>155</v>
      </c>
      <c r="Y497">
        <v>40</v>
      </c>
      <c r="Z497" t="s">
        <v>155</v>
      </c>
      <c r="AC497" t="s">
        <v>155</v>
      </c>
      <c r="AF497" t="s">
        <v>155</v>
      </c>
      <c r="AK497">
        <v>20</v>
      </c>
      <c r="AL497" t="s">
        <v>155</v>
      </c>
      <c r="AO497" t="s">
        <v>155</v>
      </c>
      <c r="AR497" t="s">
        <v>155</v>
      </c>
      <c r="AU497" t="s">
        <v>155</v>
      </c>
      <c r="AX497" t="s">
        <v>155</v>
      </c>
      <c r="BA497" t="s">
        <v>155</v>
      </c>
      <c r="BD497" t="s">
        <v>155</v>
      </c>
      <c r="BI497">
        <v>0.09</v>
      </c>
    </row>
    <row r="498" spans="1:61" ht="16" x14ac:dyDescent="0.2">
      <c r="A498" s="15" t="s">
        <v>1224</v>
      </c>
      <c r="B498" t="s">
        <v>1225</v>
      </c>
      <c r="C498" t="s">
        <v>235</v>
      </c>
      <c r="D498" t="s">
        <v>129</v>
      </c>
      <c r="E498" s="1" t="s">
        <v>168</v>
      </c>
      <c r="F498" s="1" t="s">
        <v>140</v>
      </c>
      <c r="G498" t="s">
        <v>1226</v>
      </c>
      <c r="H498" t="s">
        <v>155</v>
      </c>
      <c r="M498">
        <v>10</v>
      </c>
      <c r="N498">
        <v>44</v>
      </c>
      <c r="S498">
        <v>15</v>
      </c>
      <c r="T498" t="s">
        <v>155</v>
      </c>
      <c r="W498">
        <v>46</v>
      </c>
      <c r="Z498" t="s">
        <v>155</v>
      </c>
      <c r="AC498" t="s">
        <v>155</v>
      </c>
      <c r="AF498" t="s">
        <v>155</v>
      </c>
      <c r="AK498">
        <v>19</v>
      </c>
      <c r="AL498" t="s">
        <v>155</v>
      </c>
      <c r="AO498" t="s">
        <v>155</v>
      </c>
      <c r="AR498" t="s">
        <v>155</v>
      </c>
      <c r="AU498" t="s">
        <v>155</v>
      </c>
      <c r="AX498" t="s">
        <v>155</v>
      </c>
      <c r="BA498" t="s">
        <v>155</v>
      </c>
      <c r="BD498" t="s">
        <v>155</v>
      </c>
      <c r="BI498">
        <v>0.09</v>
      </c>
    </row>
    <row r="499" spans="1:61" ht="16" x14ac:dyDescent="0.2">
      <c r="A499" s="18" t="s">
        <v>1227</v>
      </c>
      <c r="B499" s="10" t="s">
        <v>1228</v>
      </c>
      <c r="C499" s="10" t="s">
        <v>1229</v>
      </c>
      <c r="D499" s="10" t="s">
        <v>1230</v>
      </c>
      <c r="E499" s="11"/>
      <c r="F499" s="11" t="s">
        <v>141</v>
      </c>
      <c r="G499" s="10" t="s">
        <v>999</v>
      </c>
      <c r="H499">
        <v>11000</v>
      </c>
      <c r="M499">
        <v>3</v>
      </c>
      <c r="N499">
        <v>6.1</v>
      </c>
      <c r="S499">
        <v>0.5</v>
      </c>
      <c r="T499">
        <v>93</v>
      </c>
      <c r="W499">
        <v>14</v>
      </c>
      <c r="AB499">
        <v>1</v>
      </c>
      <c r="AE499">
        <v>1</v>
      </c>
      <c r="AF499">
        <v>9900</v>
      </c>
      <c r="AI499">
        <v>7.1</v>
      </c>
      <c r="AL499">
        <v>140</v>
      </c>
      <c r="AO499">
        <v>3.2</v>
      </c>
      <c r="AT499">
        <v>2</v>
      </c>
      <c r="AU499">
        <v>210</v>
      </c>
      <c r="AZ499">
        <v>100</v>
      </c>
      <c r="BA499">
        <v>33</v>
      </c>
      <c r="BD499">
        <v>1.2</v>
      </c>
      <c r="BI499">
        <v>0.05</v>
      </c>
    </row>
    <row r="500" spans="1:61" ht="16" x14ac:dyDescent="0.2">
      <c r="A500" s="18" t="s">
        <v>1227</v>
      </c>
      <c r="B500" s="10" t="s">
        <v>1228</v>
      </c>
      <c r="C500" s="10" t="s">
        <v>1229</v>
      </c>
      <c r="D500" s="10" t="s">
        <v>1230</v>
      </c>
      <c r="E500" s="11"/>
      <c r="F500" s="11" t="s">
        <v>153</v>
      </c>
      <c r="G500" s="10" t="s">
        <v>1000</v>
      </c>
      <c r="H500">
        <v>3400</v>
      </c>
      <c r="M500">
        <v>3</v>
      </c>
      <c r="N500">
        <v>32</v>
      </c>
      <c r="S500">
        <v>0.5</v>
      </c>
      <c r="T500">
        <v>1200</v>
      </c>
      <c r="W500">
        <v>3.9</v>
      </c>
      <c r="Z500">
        <v>1.9</v>
      </c>
      <c r="AC500">
        <v>2.4</v>
      </c>
      <c r="AF500">
        <v>3400</v>
      </c>
      <c r="AI500">
        <v>7.1</v>
      </c>
      <c r="AL500">
        <v>230</v>
      </c>
      <c r="AO500">
        <v>58</v>
      </c>
      <c r="AR500">
        <v>2.2999999999999998</v>
      </c>
      <c r="AW500">
        <v>200</v>
      </c>
      <c r="AZ500">
        <v>100</v>
      </c>
      <c r="BA500">
        <v>4.8</v>
      </c>
      <c r="BD500">
        <v>19</v>
      </c>
      <c r="BI500">
        <v>0.05</v>
      </c>
    </row>
    <row r="501" spans="1:61" ht="16" x14ac:dyDescent="0.2">
      <c r="A501" s="15" t="s">
        <v>1231</v>
      </c>
      <c r="B501" t="s">
        <v>1232</v>
      </c>
      <c r="C501" t="s">
        <v>1233</v>
      </c>
      <c r="D501" t="s">
        <v>474</v>
      </c>
      <c r="E501" s="1" t="s">
        <v>8</v>
      </c>
      <c r="F501" s="1" t="s">
        <v>140</v>
      </c>
      <c r="G501" t="s">
        <v>1234</v>
      </c>
      <c r="H501">
        <v>18000</v>
      </c>
      <c r="L501" s="16">
        <f>(1.4*1.74)</f>
        <v>2.4359999999999999</v>
      </c>
      <c r="N501">
        <v>51</v>
      </c>
      <c r="S501">
        <v>1</v>
      </c>
      <c r="V501">
        <v>270</v>
      </c>
      <c r="X501" s="16">
        <f>(19*1.29)</f>
        <v>24.51</v>
      </c>
      <c r="AA501" s="16">
        <f>(5.6*1.25)</f>
        <v>7</v>
      </c>
      <c r="AC501">
        <v>24</v>
      </c>
      <c r="AF501">
        <v>44000</v>
      </c>
      <c r="AJ501" s="16">
        <f>(17*1.44)</f>
        <v>24.48</v>
      </c>
      <c r="AL501">
        <v>350</v>
      </c>
      <c r="AO501">
        <v>670</v>
      </c>
      <c r="AT501">
        <v>1.3</v>
      </c>
      <c r="AW501">
        <v>390</v>
      </c>
      <c r="AZ501">
        <v>7.5</v>
      </c>
      <c r="BA501">
        <v>93</v>
      </c>
      <c r="BD501">
        <v>16</v>
      </c>
      <c r="BG501" t="s">
        <v>155</v>
      </c>
    </row>
    <row r="502" spans="1:61" x14ac:dyDescent="0.2">
      <c r="A502" t="s">
        <v>1235</v>
      </c>
      <c r="B502" t="s">
        <v>1236</v>
      </c>
      <c r="C502" t="s">
        <v>1237</v>
      </c>
      <c r="D502" t="s">
        <v>406</v>
      </c>
      <c r="E502" s="1" t="s">
        <v>8</v>
      </c>
      <c r="F502" s="1" t="s">
        <v>153</v>
      </c>
      <c r="G502" t="s">
        <v>1238</v>
      </c>
      <c r="H502" t="s">
        <v>155</v>
      </c>
      <c r="K502">
        <v>2</v>
      </c>
      <c r="P502">
        <v>8</v>
      </c>
      <c r="S502">
        <v>16</v>
      </c>
      <c r="T502" t="s">
        <v>155</v>
      </c>
      <c r="Y502">
        <v>40</v>
      </c>
      <c r="Z502" t="s">
        <v>155</v>
      </c>
      <c r="AC502" t="s">
        <v>155</v>
      </c>
      <c r="AF502" t="s">
        <v>155</v>
      </c>
      <c r="AI502">
        <v>20</v>
      </c>
      <c r="AL502" t="s">
        <v>155</v>
      </c>
      <c r="AO502" t="s">
        <v>155</v>
      </c>
      <c r="AR502" t="s">
        <v>155</v>
      </c>
      <c r="AU502" t="s">
        <v>155</v>
      </c>
      <c r="AX502" t="s">
        <v>155</v>
      </c>
      <c r="BA502" t="s">
        <v>155</v>
      </c>
      <c r="BD502" t="s">
        <v>155</v>
      </c>
      <c r="BI502">
        <v>0.1</v>
      </c>
    </row>
    <row r="503" spans="1:61" ht="16" x14ac:dyDescent="0.2">
      <c r="A503" s="15" t="s">
        <v>1239</v>
      </c>
      <c r="B503" t="s">
        <v>1240</v>
      </c>
      <c r="C503" t="s">
        <v>1241</v>
      </c>
      <c r="D503" t="s">
        <v>133</v>
      </c>
      <c r="E503" s="1" t="s">
        <v>8</v>
      </c>
      <c r="F503" s="1" t="s">
        <v>140</v>
      </c>
      <c r="G503" t="s">
        <v>1242</v>
      </c>
      <c r="H503" t="s">
        <v>155</v>
      </c>
      <c r="M503">
        <v>10</v>
      </c>
      <c r="N503">
        <v>35</v>
      </c>
      <c r="S503">
        <v>16</v>
      </c>
      <c r="T503" t="s">
        <v>155</v>
      </c>
      <c r="Y503">
        <v>39</v>
      </c>
      <c r="Z503" t="s">
        <v>155</v>
      </c>
      <c r="AC503" t="s">
        <v>155</v>
      </c>
      <c r="AF503" t="s">
        <v>155</v>
      </c>
      <c r="AK503">
        <v>20</v>
      </c>
      <c r="AL503" t="s">
        <v>155</v>
      </c>
      <c r="AO503" t="s">
        <v>155</v>
      </c>
      <c r="AR503" t="s">
        <v>155</v>
      </c>
      <c r="AU503" t="s">
        <v>155</v>
      </c>
      <c r="AX503" t="s">
        <v>155</v>
      </c>
      <c r="BA503" t="s">
        <v>155</v>
      </c>
      <c r="BD503" t="s">
        <v>155</v>
      </c>
      <c r="BI503">
        <v>0.09</v>
      </c>
    </row>
    <row r="504" spans="1:61" ht="16" x14ac:dyDescent="0.2">
      <c r="A504" s="18" t="s">
        <v>1243</v>
      </c>
      <c r="B504" s="10" t="s">
        <v>1244</v>
      </c>
      <c r="C504" s="10" t="s">
        <v>158</v>
      </c>
      <c r="D504" s="10" t="s">
        <v>159</v>
      </c>
      <c r="E504" s="11" t="s">
        <v>8</v>
      </c>
      <c r="F504" s="11" t="s">
        <v>140</v>
      </c>
      <c r="G504" s="10" t="s">
        <v>1245</v>
      </c>
      <c r="H504">
        <v>15000</v>
      </c>
      <c r="M504">
        <v>2</v>
      </c>
      <c r="O504" s="16">
        <f>(73*3.99)</f>
        <v>291.27000000000004</v>
      </c>
      <c r="S504">
        <v>0.96</v>
      </c>
      <c r="T504">
        <v>890</v>
      </c>
      <c r="X504" s="16">
        <f>(47*1.29)</f>
        <v>60.63</v>
      </c>
      <c r="Z504">
        <v>19</v>
      </c>
      <c r="AE504">
        <v>30</v>
      </c>
      <c r="AF504">
        <v>24000</v>
      </c>
      <c r="AI504">
        <v>15</v>
      </c>
      <c r="AL504">
        <v>780</v>
      </c>
      <c r="AP504" s="16">
        <f>(720*1.24)</f>
        <v>892.8</v>
      </c>
      <c r="AT504">
        <v>6</v>
      </c>
      <c r="AU504">
        <v>360</v>
      </c>
      <c r="AZ504">
        <v>20</v>
      </c>
      <c r="BA504">
        <v>79</v>
      </c>
      <c r="BF504">
        <v>30</v>
      </c>
      <c r="BI504">
        <v>0.12</v>
      </c>
    </row>
    <row r="505" spans="1:61" ht="16" x14ac:dyDescent="0.2">
      <c r="A505" s="18" t="s">
        <v>1243</v>
      </c>
      <c r="B505" s="10" t="s">
        <v>1244</v>
      </c>
      <c r="C505" s="10" t="s">
        <v>158</v>
      </c>
      <c r="D505" s="10" t="s">
        <v>159</v>
      </c>
      <c r="E505" s="11" t="s">
        <v>8</v>
      </c>
      <c r="F505" s="11" t="s">
        <v>141</v>
      </c>
      <c r="G505" s="10" t="s">
        <v>1246</v>
      </c>
      <c r="H505">
        <v>1200</v>
      </c>
      <c r="M505">
        <v>3</v>
      </c>
      <c r="O505" s="16">
        <f>(44*3.99)</f>
        <v>175.56</v>
      </c>
      <c r="S505">
        <v>0.98</v>
      </c>
      <c r="T505">
        <v>630</v>
      </c>
      <c r="X505" s="16">
        <f>(22*1.29)</f>
        <v>28.380000000000003</v>
      </c>
      <c r="AB505">
        <v>4</v>
      </c>
      <c r="AC505">
        <v>19</v>
      </c>
      <c r="AF505">
        <v>28000</v>
      </c>
      <c r="AI505">
        <v>7.3</v>
      </c>
      <c r="AL505">
        <v>640</v>
      </c>
      <c r="AP505" s="16">
        <f>(43*1.24)</f>
        <v>53.32</v>
      </c>
      <c r="AT505">
        <v>6.1</v>
      </c>
      <c r="AW505">
        <v>170</v>
      </c>
      <c r="AZ505">
        <v>60</v>
      </c>
      <c r="BA505">
        <v>79</v>
      </c>
      <c r="BF505">
        <v>7</v>
      </c>
      <c r="BI505">
        <v>0.12</v>
      </c>
    </row>
    <row r="506" spans="1:61" ht="16" x14ac:dyDescent="0.2">
      <c r="A506" s="18" t="s">
        <v>1243</v>
      </c>
      <c r="B506" s="10" t="s">
        <v>1244</v>
      </c>
      <c r="C506" s="10" t="s">
        <v>158</v>
      </c>
      <c r="D506" s="10" t="s">
        <v>159</v>
      </c>
      <c r="E506" s="11" t="s">
        <v>8</v>
      </c>
      <c r="F506" s="11" t="s">
        <v>153</v>
      </c>
      <c r="G506" s="10" t="s">
        <v>1247</v>
      </c>
      <c r="H506">
        <v>6500</v>
      </c>
      <c r="M506">
        <v>2</v>
      </c>
      <c r="O506" s="16">
        <f>(32*3.99)</f>
        <v>127.68</v>
      </c>
      <c r="S506">
        <v>1</v>
      </c>
      <c r="T506">
        <v>550</v>
      </c>
      <c r="X506" s="16">
        <f>(93*1.29)</f>
        <v>119.97</v>
      </c>
      <c r="AB506">
        <v>20</v>
      </c>
      <c r="AE506">
        <v>20</v>
      </c>
      <c r="AF506">
        <v>18000</v>
      </c>
      <c r="AI506">
        <v>6.2</v>
      </c>
      <c r="AL506">
        <v>690</v>
      </c>
      <c r="AP506" s="16">
        <f>(390*1.24)</f>
        <v>483.6</v>
      </c>
      <c r="AT506">
        <v>6.5</v>
      </c>
      <c r="AW506">
        <v>180</v>
      </c>
      <c r="AZ506">
        <v>50</v>
      </c>
      <c r="BA506">
        <v>60</v>
      </c>
      <c r="BF506">
        <v>0</v>
      </c>
      <c r="BI506">
        <v>0.13</v>
      </c>
    </row>
    <row r="507" spans="1:61" x14ac:dyDescent="0.2">
      <c r="A507" s="10" t="s">
        <v>1248</v>
      </c>
      <c r="B507" s="10" t="s">
        <v>1249</v>
      </c>
      <c r="C507" s="10" t="s">
        <v>604</v>
      </c>
      <c r="D507" s="10" t="s">
        <v>216</v>
      </c>
      <c r="E507" s="11" t="s">
        <v>8</v>
      </c>
      <c r="F507" s="11" t="s">
        <v>140</v>
      </c>
      <c r="G507" s="10" t="s">
        <v>1250</v>
      </c>
      <c r="H507">
        <v>8700</v>
      </c>
      <c r="L507" s="16">
        <f>(3.4*1.74)</f>
        <v>5.9159999999999995</v>
      </c>
      <c r="N507">
        <v>51</v>
      </c>
      <c r="R507" s="16">
        <f>(2.6*1.41)</f>
        <v>3.6659999999999999</v>
      </c>
      <c r="V507">
        <v>340</v>
      </c>
      <c r="W507">
        <v>5.5</v>
      </c>
      <c r="Z507">
        <v>2.9</v>
      </c>
      <c r="AE507">
        <v>20</v>
      </c>
      <c r="AF507">
        <v>7700</v>
      </c>
      <c r="AK507">
        <v>20</v>
      </c>
      <c r="AL507">
        <v>430</v>
      </c>
      <c r="AO507">
        <v>120</v>
      </c>
      <c r="AR507">
        <v>3.2</v>
      </c>
      <c r="AU507">
        <v>330</v>
      </c>
      <c r="AZ507">
        <v>300</v>
      </c>
      <c r="BB507" s="16">
        <f>(12*1.34)</f>
        <v>16.080000000000002</v>
      </c>
      <c r="BD507">
        <v>75</v>
      </c>
      <c r="BH507" s="16">
        <f>(0.9*1.83)</f>
        <v>1.647</v>
      </c>
    </row>
    <row r="508" spans="1:61" ht="16" x14ac:dyDescent="0.2">
      <c r="A508" s="15" t="s">
        <v>1251</v>
      </c>
      <c r="B508" t="s">
        <v>1252</v>
      </c>
      <c r="C508" t="s">
        <v>180</v>
      </c>
      <c r="D508" t="s">
        <v>135</v>
      </c>
      <c r="E508" s="1" t="s">
        <v>8</v>
      </c>
      <c r="F508" s="1" t="s">
        <v>140</v>
      </c>
      <c r="G508" t="s">
        <v>509</v>
      </c>
      <c r="H508" t="s">
        <v>155</v>
      </c>
      <c r="K508">
        <v>1.5</v>
      </c>
      <c r="N508">
        <v>14</v>
      </c>
      <c r="Q508">
        <v>4</v>
      </c>
      <c r="T508" t="s">
        <v>155</v>
      </c>
      <c r="W508">
        <v>18</v>
      </c>
      <c r="Z508" t="s">
        <v>155</v>
      </c>
      <c r="AC508">
        <v>12</v>
      </c>
      <c r="AF508" t="s">
        <v>155</v>
      </c>
      <c r="AI508">
        <v>18</v>
      </c>
      <c r="AL508" t="s">
        <v>155</v>
      </c>
      <c r="AO508" t="s">
        <v>155</v>
      </c>
      <c r="AR508">
        <v>6</v>
      </c>
      <c r="AU508" t="s">
        <v>155</v>
      </c>
      <c r="AX508" t="s">
        <v>155</v>
      </c>
      <c r="BA508" t="s">
        <v>155</v>
      </c>
      <c r="BD508" t="s">
        <v>155</v>
      </c>
      <c r="BI508">
        <v>0.1</v>
      </c>
    </row>
    <row r="509" spans="1:61" ht="16" x14ac:dyDescent="0.2">
      <c r="A509" s="15" t="s">
        <v>149</v>
      </c>
      <c r="B509" t="s">
        <v>1253</v>
      </c>
      <c r="C509" t="s">
        <v>1254</v>
      </c>
      <c r="D509" t="s">
        <v>152</v>
      </c>
      <c r="E509" s="1" t="s">
        <v>8</v>
      </c>
      <c r="F509" s="1" t="s">
        <v>140</v>
      </c>
      <c r="G509" t="s">
        <v>1255</v>
      </c>
      <c r="H509">
        <v>24000</v>
      </c>
      <c r="M509">
        <v>4</v>
      </c>
      <c r="N509">
        <v>91</v>
      </c>
      <c r="S509">
        <v>0.73</v>
      </c>
      <c r="T509">
        <v>2800</v>
      </c>
      <c r="W509">
        <v>69</v>
      </c>
      <c r="Z509">
        <v>28</v>
      </c>
      <c r="AC509">
        <v>29</v>
      </c>
      <c r="AF509">
        <v>60000</v>
      </c>
      <c r="AI509">
        <v>25</v>
      </c>
      <c r="AL509">
        <v>2400</v>
      </c>
      <c r="AO509">
        <v>580</v>
      </c>
      <c r="AR509">
        <v>20</v>
      </c>
      <c r="AU509">
        <v>1900</v>
      </c>
      <c r="AZ509">
        <v>80</v>
      </c>
      <c r="BA509">
        <v>190</v>
      </c>
      <c r="BD509">
        <v>76</v>
      </c>
      <c r="BG509" t="s">
        <v>155</v>
      </c>
    </row>
    <row r="510" spans="1:61" x14ac:dyDescent="0.2">
      <c r="A510" s="10" t="s">
        <v>1256</v>
      </c>
      <c r="B510" s="10" t="s">
        <v>1253</v>
      </c>
      <c r="C510" s="10" t="s">
        <v>473</v>
      </c>
      <c r="D510" s="10" t="s">
        <v>474</v>
      </c>
      <c r="E510" s="11" t="s">
        <v>8</v>
      </c>
      <c r="F510" s="11" t="s">
        <v>140</v>
      </c>
      <c r="G510" s="10" t="s">
        <v>1257</v>
      </c>
      <c r="H510">
        <v>33000</v>
      </c>
      <c r="M510">
        <v>3</v>
      </c>
      <c r="N510">
        <v>73</v>
      </c>
      <c r="S510">
        <v>0.96</v>
      </c>
      <c r="T510">
        <v>970</v>
      </c>
      <c r="W510">
        <v>13</v>
      </c>
      <c r="Z510">
        <v>4.9000000000000004</v>
      </c>
      <c r="AE510">
        <v>40</v>
      </c>
      <c r="AG510" s="16">
        <f>(33000*1.34)</f>
        <v>44220</v>
      </c>
      <c r="AI510">
        <v>37</v>
      </c>
      <c r="AL510">
        <v>1800</v>
      </c>
      <c r="AO510">
        <v>150</v>
      </c>
      <c r="AR510">
        <v>4.9000000000000004</v>
      </c>
      <c r="AU510">
        <v>1400</v>
      </c>
      <c r="AX510">
        <v>1300</v>
      </c>
      <c r="BA510">
        <v>92</v>
      </c>
      <c r="BD510">
        <v>29</v>
      </c>
      <c r="BI510">
        <v>0.12</v>
      </c>
    </row>
    <row r="511" spans="1:61" x14ac:dyDescent="0.2">
      <c r="A511" s="10" t="s">
        <v>1256</v>
      </c>
      <c r="B511" s="10" t="s">
        <v>1253</v>
      </c>
      <c r="C511" s="10" t="s">
        <v>473</v>
      </c>
      <c r="D511" s="10" t="s">
        <v>474</v>
      </c>
      <c r="E511" s="11" t="s">
        <v>8</v>
      </c>
      <c r="F511" s="11" t="s">
        <v>141</v>
      </c>
      <c r="G511" s="10" t="s">
        <v>1258</v>
      </c>
      <c r="H511">
        <v>32000</v>
      </c>
      <c r="M511">
        <v>2</v>
      </c>
      <c r="N511">
        <v>84</v>
      </c>
      <c r="S511">
        <v>1.1000000000000001</v>
      </c>
      <c r="V511">
        <v>80</v>
      </c>
      <c r="W511">
        <v>8.8000000000000007</v>
      </c>
      <c r="Z511">
        <v>4.0999999999999996</v>
      </c>
      <c r="AE511">
        <v>30</v>
      </c>
      <c r="AG511" s="16">
        <f>(46000*1.34)</f>
        <v>61640.000000000007</v>
      </c>
      <c r="AI511">
        <v>37</v>
      </c>
      <c r="AL511">
        <v>2100</v>
      </c>
      <c r="AO511">
        <v>200</v>
      </c>
      <c r="AT511">
        <v>3</v>
      </c>
      <c r="AU511">
        <v>1600</v>
      </c>
      <c r="AX511">
        <v>1400</v>
      </c>
      <c r="BA511">
        <v>150</v>
      </c>
      <c r="BD511">
        <v>30</v>
      </c>
      <c r="BI511">
        <v>0.13</v>
      </c>
    </row>
    <row r="512" spans="1:61" ht="16" x14ac:dyDescent="0.2">
      <c r="A512" s="15" t="s">
        <v>1259</v>
      </c>
      <c r="B512" t="s">
        <v>1260</v>
      </c>
      <c r="C512" t="s">
        <v>204</v>
      </c>
      <c r="D512" t="s">
        <v>204</v>
      </c>
      <c r="E512" s="1" t="s">
        <v>8</v>
      </c>
      <c r="F512" s="1" t="s">
        <v>140</v>
      </c>
      <c r="G512" t="s">
        <v>1261</v>
      </c>
      <c r="H512" t="s">
        <v>155</v>
      </c>
      <c r="K512">
        <v>3.6</v>
      </c>
      <c r="N512" t="s">
        <v>155</v>
      </c>
      <c r="S512">
        <v>15</v>
      </c>
      <c r="T512" t="s">
        <v>155</v>
      </c>
      <c r="Y512">
        <v>37</v>
      </c>
      <c r="Z512" t="s">
        <v>155</v>
      </c>
      <c r="AC512">
        <v>18</v>
      </c>
      <c r="AF512" t="s">
        <v>155</v>
      </c>
      <c r="AI512">
        <v>36</v>
      </c>
      <c r="AL512" t="s">
        <v>155</v>
      </c>
      <c r="AO512" t="s">
        <v>155</v>
      </c>
      <c r="AR512" t="s">
        <v>155</v>
      </c>
      <c r="AU512" t="s">
        <v>155</v>
      </c>
      <c r="AX512" t="s">
        <v>155</v>
      </c>
      <c r="BA512" t="s">
        <v>155</v>
      </c>
      <c r="BD512" t="s">
        <v>155</v>
      </c>
      <c r="BI512">
        <v>0.1</v>
      </c>
    </row>
    <row r="513" spans="1:61" ht="16" x14ac:dyDescent="0.2">
      <c r="A513" s="15" t="s">
        <v>1259</v>
      </c>
      <c r="B513" t="s">
        <v>1260</v>
      </c>
      <c r="C513" t="s">
        <v>204</v>
      </c>
      <c r="D513" t="s">
        <v>204</v>
      </c>
      <c r="E513" s="1" t="s">
        <v>8</v>
      </c>
      <c r="F513" s="1" t="s">
        <v>141</v>
      </c>
      <c r="G513" t="s">
        <v>1262</v>
      </c>
      <c r="H513" t="s">
        <v>155</v>
      </c>
      <c r="K513">
        <v>1</v>
      </c>
      <c r="N513" t="s">
        <v>155</v>
      </c>
      <c r="S513">
        <v>15</v>
      </c>
      <c r="T513" t="s">
        <v>155</v>
      </c>
      <c r="Y513">
        <v>37</v>
      </c>
      <c r="Z513" t="s">
        <v>155</v>
      </c>
      <c r="AE513">
        <v>22</v>
      </c>
      <c r="AF513" t="s">
        <v>155</v>
      </c>
      <c r="AK513">
        <v>19</v>
      </c>
      <c r="AL513" t="s">
        <v>155</v>
      </c>
      <c r="AO513" t="s">
        <v>155</v>
      </c>
      <c r="AR513" t="s">
        <v>155</v>
      </c>
      <c r="AU513" t="s">
        <v>155</v>
      </c>
      <c r="AX513" t="s">
        <v>155</v>
      </c>
      <c r="BA513" t="s">
        <v>155</v>
      </c>
      <c r="BD513" t="s">
        <v>155</v>
      </c>
      <c r="BI513">
        <v>0.1</v>
      </c>
    </row>
    <row r="514" spans="1:61" ht="16" x14ac:dyDescent="0.2">
      <c r="A514" s="15" t="s">
        <v>1263</v>
      </c>
      <c r="B514" t="s">
        <v>1264</v>
      </c>
      <c r="C514" t="s">
        <v>1222</v>
      </c>
      <c r="D514" t="s">
        <v>661</v>
      </c>
      <c r="E514" s="1" t="s">
        <v>8</v>
      </c>
      <c r="F514" s="1" t="s">
        <v>141</v>
      </c>
      <c r="G514" t="s">
        <v>581</v>
      </c>
      <c r="H514" t="s">
        <v>155</v>
      </c>
      <c r="M514">
        <v>2</v>
      </c>
      <c r="N514">
        <v>23</v>
      </c>
      <c r="S514">
        <v>15</v>
      </c>
      <c r="T514" t="s">
        <v>155</v>
      </c>
      <c r="W514">
        <v>57</v>
      </c>
      <c r="Z514" t="s">
        <v>155</v>
      </c>
      <c r="AC514" t="s">
        <v>155</v>
      </c>
      <c r="AF514" t="s">
        <v>155</v>
      </c>
      <c r="AK514">
        <v>19</v>
      </c>
      <c r="AL514" t="s">
        <v>155</v>
      </c>
      <c r="AO514" t="s">
        <v>155</v>
      </c>
      <c r="AR514" t="s">
        <v>155</v>
      </c>
      <c r="AU514" t="s">
        <v>155</v>
      </c>
      <c r="AX514" t="s">
        <v>155</v>
      </c>
      <c r="BA514" t="s">
        <v>155</v>
      </c>
      <c r="BD514" t="s">
        <v>155</v>
      </c>
      <c r="BI514">
        <v>0.09</v>
      </c>
    </row>
    <row r="515" spans="1:61" ht="16" x14ac:dyDescent="0.2">
      <c r="A515" s="15" t="s">
        <v>1265</v>
      </c>
      <c r="B515" t="s">
        <v>1266</v>
      </c>
      <c r="C515" t="s">
        <v>801</v>
      </c>
      <c r="D515" t="s">
        <v>802</v>
      </c>
      <c r="F515" s="1" t="s">
        <v>140</v>
      </c>
      <c r="G515" t="s">
        <v>1267</v>
      </c>
      <c r="H515" t="s">
        <v>155</v>
      </c>
      <c r="K515">
        <v>3.6</v>
      </c>
      <c r="N515">
        <v>89</v>
      </c>
      <c r="S515">
        <v>16</v>
      </c>
      <c r="T515" t="s">
        <v>155</v>
      </c>
      <c r="Y515">
        <v>40</v>
      </c>
      <c r="Z515" t="s">
        <v>155</v>
      </c>
      <c r="AC515" t="s">
        <v>155</v>
      </c>
      <c r="AF515" t="s">
        <v>155</v>
      </c>
      <c r="AI515">
        <v>20</v>
      </c>
      <c r="AL515" t="s">
        <v>155</v>
      </c>
      <c r="AO515" t="s">
        <v>155</v>
      </c>
      <c r="AR515" t="s">
        <v>155</v>
      </c>
      <c r="AU515" t="s">
        <v>155</v>
      </c>
      <c r="AX515" t="s">
        <v>155</v>
      </c>
      <c r="BA515" t="s">
        <v>155</v>
      </c>
      <c r="BD515" t="s">
        <v>155</v>
      </c>
      <c r="BI515">
        <v>0.1</v>
      </c>
    </row>
    <row r="516" spans="1:61" ht="16" x14ac:dyDescent="0.2">
      <c r="A516" s="15" t="s">
        <v>1268</v>
      </c>
      <c r="B516" t="s">
        <v>1269</v>
      </c>
      <c r="C516" t="s">
        <v>204</v>
      </c>
      <c r="D516" t="s">
        <v>204</v>
      </c>
      <c r="E516" s="1" t="s">
        <v>8</v>
      </c>
      <c r="F516" s="1" t="s">
        <v>140</v>
      </c>
      <c r="G516" t="s">
        <v>581</v>
      </c>
      <c r="H516" t="s">
        <v>155</v>
      </c>
      <c r="M516">
        <v>2</v>
      </c>
      <c r="N516">
        <v>49</v>
      </c>
      <c r="Q516">
        <v>4</v>
      </c>
      <c r="T516" t="s">
        <v>155</v>
      </c>
      <c r="W516">
        <v>10</v>
      </c>
      <c r="Z516" t="s">
        <v>155</v>
      </c>
      <c r="AC516" t="s">
        <v>155</v>
      </c>
      <c r="AF516" t="s">
        <v>155</v>
      </c>
      <c r="AI516">
        <v>36</v>
      </c>
      <c r="AL516" t="s">
        <v>155</v>
      </c>
      <c r="AO516" t="s">
        <v>155</v>
      </c>
      <c r="AR516" t="s">
        <v>155</v>
      </c>
      <c r="AU516" t="s">
        <v>155</v>
      </c>
      <c r="AX516" t="s">
        <v>155</v>
      </c>
      <c r="BA516" t="s">
        <v>155</v>
      </c>
      <c r="BD516" t="s">
        <v>155</v>
      </c>
      <c r="BI516">
        <v>0.1</v>
      </c>
    </row>
    <row r="517" spans="1:61" x14ac:dyDescent="0.2">
      <c r="A517" t="s">
        <v>1270</v>
      </c>
      <c r="B517" t="s">
        <v>1271</v>
      </c>
      <c r="C517" t="s">
        <v>1035</v>
      </c>
      <c r="D517" t="s">
        <v>264</v>
      </c>
      <c r="F517" s="1" t="s">
        <v>140</v>
      </c>
      <c r="G517" t="s">
        <v>1272</v>
      </c>
      <c r="H517">
        <v>2600</v>
      </c>
      <c r="K517">
        <v>1.4</v>
      </c>
      <c r="P517">
        <v>22</v>
      </c>
      <c r="S517">
        <v>0.56000000000000005</v>
      </c>
      <c r="T517">
        <v>580</v>
      </c>
      <c r="W517">
        <v>3.2</v>
      </c>
      <c r="Z517">
        <v>5.6</v>
      </c>
      <c r="AE517">
        <v>2.8</v>
      </c>
      <c r="AF517">
        <v>2700</v>
      </c>
      <c r="AI517">
        <v>10</v>
      </c>
      <c r="AN517">
        <v>120</v>
      </c>
      <c r="AO517">
        <v>11</v>
      </c>
      <c r="AT517">
        <v>0.67</v>
      </c>
      <c r="AW517">
        <v>560</v>
      </c>
      <c r="AZ517">
        <v>560</v>
      </c>
      <c r="BA517">
        <v>6.9</v>
      </c>
      <c r="BD517">
        <v>7.4</v>
      </c>
      <c r="BI517">
        <v>0.11</v>
      </c>
    </row>
    <row r="518" spans="1:61" x14ac:dyDescent="0.2">
      <c r="A518" t="s">
        <v>1273</v>
      </c>
      <c r="B518" t="s">
        <v>1274</v>
      </c>
      <c r="C518" t="s">
        <v>337</v>
      </c>
      <c r="D518" t="s">
        <v>338</v>
      </c>
      <c r="E518" s="1" t="s">
        <v>8</v>
      </c>
      <c r="F518" s="1" t="s">
        <v>140</v>
      </c>
      <c r="G518" t="s">
        <v>1275</v>
      </c>
      <c r="I518" s="16">
        <f>(1600*1.66)</f>
        <v>2656</v>
      </c>
      <c r="K518" t="s">
        <v>155</v>
      </c>
      <c r="N518" t="s">
        <v>155</v>
      </c>
      <c r="Q518" t="s">
        <v>155</v>
      </c>
      <c r="T518" t="s">
        <v>155</v>
      </c>
      <c r="X518" s="16">
        <f>(3.5*1.29)</f>
        <v>4.5150000000000006</v>
      </c>
      <c r="Z518" t="s">
        <v>155</v>
      </c>
      <c r="AC518" t="s">
        <v>155</v>
      </c>
      <c r="AG518" s="16">
        <f>(1600*1.34)</f>
        <v>2144</v>
      </c>
      <c r="AI518" t="s">
        <v>155</v>
      </c>
      <c r="AL518">
        <v>140</v>
      </c>
      <c r="AO518">
        <v>6</v>
      </c>
      <c r="AR518" t="s">
        <v>155</v>
      </c>
      <c r="AU518" t="s">
        <v>155</v>
      </c>
      <c r="AX518" t="s">
        <v>155</v>
      </c>
      <c r="BA518">
        <v>3</v>
      </c>
      <c r="BD518" t="s">
        <v>155</v>
      </c>
      <c r="BG518" t="s">
        <v>155</v>
      </c>
    </row>
    <row r="519" spans="1:61" x14ac:dyDescent="0.2">
      <c r="A519" t="s">
        <v>1273</v>
      </c>
      <c r="B519" t="s">
        <v>1274</v>
      </c>
      <c r="C519" t="s">
        <v>337</v>
      </c>
      <c r="D519" t="s">
        <v>338</v>
      </c>
      <c r="E519" s="1" t="s">
        <v>8</v>
      </c>
      <c r="F519" s="1" t="s">
        <v>140</v>
      </c>
      <c r="G519" t="s">
        <v>1276</v>
      </c>
      <c r="I519" s="16">
        <f>(2900*1.66)</f>
        <v>4814</v>
      </c>
      <c r="K519" t="s">
        <v>155</v>
      </c>
      <c r="N519">
        <v>21</v>
      </c>
      <c r="Q519" t="s">
        <v>155</v>
      </c>
      <c r="T519" t="s">
        <v>155</v>
      </c>
      <c r="X519" s="16">
        <f>(5.2*1.29)</f>
        <v>6.7080000000000002</v>
      </c>
      <c r="Z519" t="s">
        <v>155</v>
      </c>
      <c r="AD519" s="16">
        <f>(11*1.22)</f>
        <v>13.42</v>
      </c>
      <c r="AG519" s="16">
        <f>(2400*1.34)</f>
        <v>3216</v>
      </c>
      <c r="AJ519" s="16">
        <f>(70*1.44)</f>
        <v>100.8</v>
      </c>
      <c r="AL519">
        <v>210</v>
      </c>
      <c r="AO519">
        <v>21</v>
      </c>
      <c r="AR519" t="s">
        <v>155</v>
      </c>
      <c r="AU519" t="s">
        <v>155</v>
      </c>
      <c r="AX519" t="s">
        <v>155</v>
      </c>
      <c r="BA519">
        <v>6.7</v>
      </c>
      <c r="BE519" s="16">
        <f>(24*1.5)</f>
        <v>36</v>
      </c>
      <c r="BG519" t="s">
        <v>155</v>
      </c>
    </row>
    <row r="520" spans="1:61" x14ac:dyDescent="0.2">
      <c r="A520" t="s">
        <v>1273</v>
      </c>
      <c r="B520" t="s">
        <v>1274</v>
      </c>
      <c r="C520" t="s">
        <v>337</v>
      </c>
      <c r="D520" t="s">
        <v>338</v>
      </c>
      <c r="E520" s="1" t="s">
        <v>8</v>
      </c>
      <c r="F520" s="1" t="s">
        <v>140</v>
      </c>
      <c r="G520" t="s">
        <v>1277</v>
      </c>
      <c r="H520">
        <v>2000</v>
      </c>
      <c r="K520" t="s">
        <v>155</v>
      </c>
      <c r="N520" t="s">
        <v>155</v>
      </c>
      <c r="Q520" t="s">
        <v>155</v>
      </c>
      <c r="T520">
        <v>570</v>
      </c>
      <c r="W520">
        <v>2.6</v>
      </c>
      <c r="Z520" t="s">
        <v>155</v>
      </c>
      <c r="AC520" t="s">
        <v>155</v>
      </c>
      <c r="AF520">
        <v>1500</v>
      </c>
      <c r="AI520">
        <v>3.6</v>
      </c>
      <c r="AL520" t="s">
        <v>155</v>
      </c>
      <c r="AO520">
        <v>16</v>
      </c>
      <c r="AR520" t="s">
        <v>155</v>
      </c>
      <c r="AU520" t="s">
        <v>155</v>
      </c>
      <c r="AX520" t="s">
        <v>155</v>
      </c>
      <c r="BA520" t="s">
        <v>155</v>
      </c>
      <c r="BD520" t="s">
        <v>155</v>
      </c>
      <c r="BG520" t="s">
        <v>155</v>
      </c>
    </row>
    <row r="521" spans="1:61" x14ac:dyDescent="0.2">
      <c r="A521" t="s">
        <v>1273</v>
      </c>
      <c r="B521" t="s">
        <v>1274</v>
      </c>
      <c r="C521" t="s">
        <v>337</v>
      </c>
      <c r="D521" t="s">
        <v>338</v>
      </c>
      <c r="E521" s="1" t="s">
        <v>8</v>
      </c>
      <c r="F521" s="1" t="s">
        <v>141</v>
      </c>
      <c r="G521" t="s">
        <v>1278</v>
      </c>
      <c r="H521">
        <v>8800</v>
      </c>
      <c r="K521">
        <v>9.1</v>
      </c>
      <c r="N521">
        <v>12</v>
      </c>
      <c r="Q521" t="s">
        <v>155</v>
      </c>
      <c r="T521">
        <v>110</v>
      </c>
      <c r="W521">
        <v>11</v>
      </c>
      <c r="Z521" t="s">
        <v>155</v>
      </c>
      <c r="AC521" t="s">
        <v>155</v>
      </c>
      <c r="AF521">
        <v>7200</v>
      </c>
      <c r="AJ521" s="16">
        <f>(7.5*1.44)</f>
        <v>10.799999999999999</v>
      </c>
      <c r="AL521" t="s">
        <v>155</v>
      </c>
      <c r="AO521">
        <v>7.3</v>
      </c>
      <c r="AR521" t="s">
        <v>155</v>
      </c>
      <c r="AU521">
        <v>130</v>
      </c>
      <c r="AX521" t="s">
        <v>155</v>
      </c>
      <c r="BB521" s="16">
        <f>(17*1.34)</f>
        <v>22.78</v>
      </c>
      <c r="BD521" t="s">
        <v>155</v>
      </c>
      <c r="BG521" t="s">
        <v>155</v>
      </c>
    </row>
    <row r="522" spans="1:61" x14ac:dyDescent="0.2">
      <c r="A522" t="s">
        <v>1273</v>
      </c>
      <c r="B522" t="s">
        <v>1274</v>
      </c>
      <c r="C522" t="s">
        <v>337</v>
      </c>
      <c r="D522" t="s">
        <v>338</v>
      </c>
      <c r="E522" s="1" t="s">
        <v>8</v>
      </c>
      <c r="F522" s="1" t="s">
        <v>141</v>
      </c>
      <c r="G522" t="s">
        <v>1279</v>
      </c>
      <c r="H522">
        <v>3200</v>
      </c>
      <c r="K522" t="s">
        <v>155</v>
      </c>
      <c r="N522">
        <v>12</v>
      </c>
      <c r="Q522" t="s">
        <v>155</v>
      </c>
      <c r="T522" t="s">
        <v>155</v>
      </c>
      <c r="W522">
        <v>4.9000000000000004</v>
      </c>
      <c r="Z522" t="s">
        <v>155</v>
      </c>
      <c r="AC522" t="s">
        <v>155</v>
      </c>
      <c r="AF522">
        <v>4800</v>
      </c>
      <c r="AI522">
        <v>2.5</v>
      </c>
      <c r="AL522" t="s">
        <v>155</v>
      </c>
      <c r="AO522" t="s">
        <v>155</v>
      </c>
      <c r="AR522" t="s">
        <v>155</v>
      </c>
      <c r="AU522">
        <v>140</v>
      </c>
      <c r="AX522" t="s">
        <v>155</v>
      </c>
      <c r="BB522" s="16">
        <f>(9*1.34)</f>
        <v>12.06</v>
      </c>
      <c r="BD522" t="s">
        <v>155</v>
      </c>
      <c r="BG522" t="s">
        <v>155</v>
      </c>
    </row>
    <row r="523" spans="1:61" x14ac:dyDescent="0.2">
      <c r="A523" t="s">
        <v>1273</v>
      </c>
      <c r="B523" t="s">
        <v>1274</v>
      </c>
      <c r="C523" t="s">
        <v>337</v>
      </c>
      <c r="D523" t="s">
        <v>338</v>
      </c>
      <c r="E523" s="1" t="s">
        <v>8</v>
      </c>
      <c r="F523" s="1" t="s">
        <v>141</v>
      </c>
      <c r="G523" t="s">
        <v>1280</v>
      </c>
      <c r="H523">
        <v>3800</v>
      </c>
      <c r="K523" t="s">
        <v>155</v>
      </c>
      <c r="N523">
        <v>15</v>
      </c>
      <c r="Q523" t="s">
        <v>155</v>
      </c>
      <c r="T523">
        <v>430</v>
      </c>
      <c r="W523">
        <v>5.5</v>
      </c>
      <c r="Z523" t="s">
        <v>155</v>
      </c>
      <c r="AC523" t="s">
        <v>155</v>
      </c>
      <c r="AF523">
        <v>12000</v>
      </c>
      <c r="AI523">
        <v>1.7</v>
      </c>
      <c r="AL523">
        <v>99</v>
      </c>
      <c r="AO523">
        <v>3.6</v>
      </c>
      <c r="AR523" t="s">
        <v>155</v>
      </c>
      <c r="AU523">
        <v>120</v>
      </c>
      <c r="AX523" t="s">
        <v>155</v>
      </c>
      <c r="BB523" s="16">
        <f>(30*1.34)</f>
        <v>40.200000000000003</v>
      </c>
      <c r="BD523" t="s">
        <v>155</v>
      </c>
      <c r="BG523" t="s">
        <v>155</v>
      </c>
    </row>
    <row r="524" spans="1:61" x14ac:dyDescent="0.2">
      <c r="A524" t="s">
        <v>1273</v>
      </c>
      <c r="B524" t="s">
        <v>1274</v>
      </c>
      <c r="C524" t="s">
        <v>337</v>
      </c>
      <c r="D524" t="s">
        <v>338</v>
      </c>
      <c r="E524" s="1" t="s">
        <v>8</v>
      </c>
      <c r="F524" s="1" t="s">
        <v>141</v>
      </c>
      <c r="G524" t="s">
        <v>1281</v>
      </c>
      <c r="H524">
        <v>6900</v>
      </c>
      <c r="K524">
        <v>1.6</v>
      </c>
      <c r="N524">
        <v>69</v>
      </c>
      <c r="R524" s="16">
        <f>(2.4*1.41)</f>
        <v>3.3839999999999999</v>
      </c>
      <c r="T524">
        <v>2000</v>
      </c>
      <c r="W524">
        <v>88</v>
      </c>
      <c r="Z524" t="s">
        <v>155</v>
      </c>
      <c r="AC524" t="s">
        <v>155</v>
      </c>
      <c r="AF524">
        <v>20000</v>
      </c>
      <c r="AI524">
        <v>7.7</v>
      </c>
      <c r="AL524">
        <v>560</v>
      </c>
      <c r="AO524">
        <v>5.9</v>
      </c>
      <c r="AR524" t="s">
        <v>155</v>
      </c>
      <c r="AU524">
        <v>400</v>
      </c>
      <c r="AX524" t="s">
        <v>155</v>
      </c>
      <c r="BB524" s="16">
        <f>(38*1.34)</f>
        <v>50.92</v>
      </c>
      <c r="BD524">
        <v>4.3</v>
      </c>
      <c r="BG524" t="s">
        <v>155</v>
      </c>
    </row>
    <row r="525" spans="1:61" x14ac:dyDescent="0.2">
      <c r="A525" t="s">
        <v>1273</v>
      </c>
      <c r="B525" t="s">
        <v>1274</v>
      </c>
      <c r="C525" t="s">
        <v>337</v>
      </c>
      <c r="D525" t="s">
        <v>338</v>
      </c>
      <c r="E525" s="1" t="s">
        <v>8</v>
      </c>
      <c r="F525" s="1" t="s">
        <v>141</v>
      </c>
      <c r="G525" t="s">
        <v>1282</v>
      </c>
      <c r="H525">
        <v>1500</v>
      </c>
      <c r="K525">
        <v>8.5</v>
      </c>
      <c r="N525">
        <v>11</v>
      </c>
      <c r="Q525" t="s">
        <v>155</v>
      </c>
      <c r="T525">
        <v>360</v>
      </c>
      <c r="W525">
        <v>9.6</v>
      </c>
      <c r="Z525">
        <v>28</v>
      </c>
      <c r="AC525" t="s">
        <v>155</v>
      </c>
      <c r="AF525">
        <v>7800</v>
      </c>
      <c r="AI525">
        <v>2.4</v>
      </c>
      <c r="AL525">
        <v>89</v>
      </c>
      <c r="AO525">
        <v>14</v>
      </c>
      <c r="AR525" t="s">
        <v>155</v>
      </c>
      <c r="AU525">
        <v>160</v>
      </c>
      <c r="AX525" t="s">
        <v>155</v>
      </c>
      <c r="BA525" t="s">
        <v>155</v>
      </c>
      <c r="BD525">
        <v>9.9</v>
      </c>
      <c r="BG525" t="s">
        <v>155</v>
      </c>
    </row>
    <row r="526" spans="1:61" x14ac:dyDescent="0.2">
      <c r="A526" t="s">
        <v>1273</v>
      </c>
      <c r="B526" t="s">
        <v>1274</v>
      </c>
      <c r="C526" t="s">
        <v>337</v>
      </c>
      <c r="D526" t="s">
        <v>338</v>
      </c>
      <c r="E526" s="1" t="s">
        <v>8</v>
      </c>
      <c r="F526" s="1" t="s">
        <v>141</v>
      </c>
      <c r="G526" t="s">
        <v>1283</v>
      </c>
      <c r="H526">
        <v>510</v>
      </c>
      <c r="K526" t="s">
        <v>155</v>
      </c>
      <c r="N526">
        <v>7.4</v>
      </c>
      <c r="Q526" t="s">
        <v>155</v>
      </c>
      <c r="T526">
        <v>460</v>
      </c>
      <c r="W526">
        <v>2.8</v>
      </c>
      <c r="Z526" t="s">
        <v>155</v>
      </c>
      <c r="AC526" t="s">
        <v>155</v>
      </c>
      <c r="AF526">
        <v>2200</v>
      </c>
      <c r="AI526">
        <v>1.7</v>
      </c>
      <c r="AL526" t="s">
        <v>155</v>
      </c>
      <c r="AO526" t="s">
        <v>155</v>
      </c>
      <c r="AR526" t="s">
        <v>155</v>
      </c>
      <c r="AU526" t="s">
        <v>155</v>
      </c>
      <c r="AX526" t="s">
        <v>155</v>
      </c>
      <c r="BB526" s="16">
        <f>(3.7*1.34)</f>
        <v>4.9580000000000002</v>
      </c>
      <c r="BD526">
        <v>15</v>
      </c>
      <c r="BG526" t="s">
        <v>155</v>
      </c>
    </row>
    <row r="527" spans="1:61" x14ac:dyDescent="0.2">
      <c r="A527" t="s">
        <v>1273</v>
      </c>
      <c r="B527" t="s">
        <v>1274</v>
      </c>
      <c r="C527" t="s">
        <v>337</v>
      </c>
      <c r="D527" t="s">
        <v>338</v>
      </c>
      <c r="E527" s="1" t="s">
        <v>8</v>
      </c>
      <c r="F527" s="1" t="s">
        <v>153</v>
      </c>
      <c r="G527" t="s">
        <v>1284</v>
      </c>
      <c r="H527">
        <v>95</v>
      </c>
      <c r="K527" t="s">
        <v>155</v>
      </c>
      <c r="N527" t="s">
        <v>155</v>
      </c>
      <c r="Q527" t="s">
        <v>155</v>
      </c>
      <c r="T527" t="s">
        <v>155</v>
      </c>
      <c r="W527" t="s">
        <v>155</v>
      </c>
      <c r="Z527" t="s">
        <v>155</v>
      </c>
      <c r="AC527">
        <v>28</v>
      </c>
      <c r="AF527">
        <v>160</v>
      </c>
      <c r="AI527" t="s">
        <v>155</v>
      </c>
      <c r="AL527" t="s">
        <v>155</v>
      </c>
      <c r="AO527" t="s">
        <v>155</v>
      </c>
      <c r="AR527" t="s">
        <v>155</v>
      </c>
      <c r="AU527">
        <v>240</v>
      </c>
      <c r="AX527" t="s">
        <v>155</v>
      </c>
      <c r="BA527" t="s">
        <v>155</v>
      </c>
      <c r="BD527" t="s">
        <v>155</v>
      </c>
      <c r="BG527" t="s">
        <v>155</v>
      </c>
    </row>
    <row r="528" spans="1:61" ht="16" x14ac:dyDescent="0.2">
      <c r="A528" s="25" t="s">
        <v>1285</v>
      </c>
      <c r="B528" t="s">
        <v>1286</v>
      </c>
      <c r="C528" t="s">
        <v>626</v>
      </c>
      <c r="D528" t="s">
        <v>627</v>
      </c>
      <c r="E528" s="1" t="s">
        <v>8</v>
      </c>
      <c r="F528" s="1" t="s">
        <v>140</v>
      </c>
      <c r="G528" t="s">
        <v>1287</v>
      </c>
      <c r="H528" t="s">
        <v>155</v>
      </c>
      <c r="K528">
        <v>4</v>
      </c>
      <c r="N528">
        <v>30</v>
      </c>
      <c r="S528">
        <v>4</v>
      </c>
      <c r="T528" t="s">
        <v>155</v>
      </c>
      <c r="Y528">
        <v>4</v>
      </c>
      <c r="Z528" t="s">
        <v>155</v>
      </c>
      <c r="AC528">
        <v>6</v>
      </c>
      <c r="AF528">
        <v>21557</v>
      </c>
      <c r="AI528">
        <v>10</v>
      </c>
      <c r="AL528" t="s">
        <v>155</v>
      </c>
      <c r="AO528">
        <v>134</v>
      </c>
      <c r="AR528">
        <v>6</v>
      </c>
      <c r="AU528" t="s">
        <v>155</v>
      </c>
      <c r="AX528" t="s">
        <v>155</v>
      </c>
      <c r="BA528">
        <v>20</v>
      </c>
      <c r="BD528">
        <v>26</v>
      </c>
      <c r="BG528">
        <v>0.2</v>
      </c>
    </row>
    <row r="529" spans="1:61" ht="16" x14ac:dyDescent="0.2">
      <c r="A529" s="25" t="s">
        <v>1285</v>
      </c>
      <c r="B529" t="s">
        <v>1286</v>
      </c>
      <c r="C529" t="s">
        <v>626</v>
      </c>
      <c r="D529" t="s">
        <v>627</v>
      </c>
      <c r="E529" s="1" t="s">
        <v>8</v>
      </c>
      <c r="F529" s="1" t="s">
        <v>153</v>
      </c>
      <c r="G529" t="s">
        <v>1288</v>
      </c>
      <c r="H529" t="s">
        <v>155</v>
      </c>
      <c r="M529">
        <v>4</v>
      </c>
      <c r="N529">
        <v>22</v>
      </c>
      <c r="S529">
        <v>2</v>
      </c>
      <c r="T529" t="s">
        <v>155</v>
      </c>
      <c r="W529">
        <v>6</v>
      </c>
      <c r="Z529" t="s">
        <v>155</v>
      </c>
      <c r="AC529">
        <v>12</v>
      </c>
      <c r="AF529">
        <v>6528</v>
      </c>
      <c r="AI529">
        <v>8</v>
      </c>
      <c r="AL529" t="s">
        <v>155</v>
      </c>
      <c r="AO529">
        <v>154</v>
      </c>
      <c r="AR529">
        <v>6</v>
      </c>
      <c r="AU529" t="s">
        <v>155</v>
      </c>
      <c r="AX529" t="s">
        <v>155</v>
      </c>
      <c r="BA529">
        <v>16</v>
      </c>
      <c r="BD529">
        <v>34</v>
      </c>
      <c r="BI529">
        <v>0.2</v>
      </c>
    </row>
    <row r="530" spans="1:61" ht="16" x14ac:dyDescent="0.2">
      <c r="A530" s="25" t="s">
        <v>1285</v>
      </c>
      <c r="B530" t="s">
        <v>1286</v>
      </c>
      <c r="C530" t="s">
        <v>626</v>
      </c>
      <c r="D530" t="s">
        <v>627</v>
      </c>
      <c r="E530" s="1" t="s">
        <v>8</v>
      </c>
      <c r="F530" s="1" t="s">
        <v>153</v>
      </c>
      <c r="G530" t="s">
        <v>1289</v>
      </c>
      <c r="H530" t="s">
        <v>155</v>
      </c>
      <c r="M530">
        <v>4</v>
      </c>
      <c r="N530">
        <v>10</v>
      </c>
      <c r="S530">
        <v>4</v>
      </c>
      <c r="T530" t="s">
        <v>155</v>
      </c>
      <c r="W530">
        <v>4</v>
      </c>
      <c r="Z530" t="s">
        <v>155</v>
      </c>
      <c r="AC530">
        <v>12</v>
      </c>
      <c r="AF530">
        <v>6194</v>
      </c>
      <c r="AI530">
        <v>20</v>
      </c>
      <c r="AL530" t="s">
        <v>155</v>
      </c>
      <c r="AO530">
        <v>88</v>
      </c>
      <c r="AR530">
        <v>4</v>
      </c>
      <c r="AU530" t="s">
        <v>155</v>
      </c>
      <c r="AX530" t="s">
        <v>155</v>
      </c>
      <c r="BA530">
        <v>12</v>
      </c>
      <c r="BD530">
        <v>34</v>
      </c>
      <c r="BI530">
        <v>0.2</v>
      </c>
    </row>
    <row r="531" spans="1:61" x14ac:dyDescent="0.2">
      <c r="A531" t="s">
        <v>1290</v>
      </c>
      <c r="B531" t="s">
        <v>1291</v>
      </c>
      <c r="C531" t="s">
        <v>291</v>
      </c>
      <c r="D531" t="s">
        <v>292</v>
      </c>
      <c r="E531" s="1" t="s">
        <v>8</v>
      </c>
      <c r="F531" s="1" t="s">
        <v>141</v>
      </c>
      <c r="G531" t="s">
        <v>1292</v>
      </c>
      <c r="H531" t="s">
        <v>155</v>
      </c>
      <c r="M531">
        <v>1.9</v>
      </c>
      <c r="N531">
        <v>12</v>
      </c>
      <c r="S531">
        <v>16</v>
      </c>
      <c r="T531" t="s">
        <v>155</v>
      </c>
      <c r="Y531">
        <v>20</v>
      </c>
      <c r="Z531" t="s">
        <v>155</v>
      </c>
      <c r="AE531">
        <v>10</v>
      </c>
      <c r="AF531" t="s">
        <v>155</v>
      </c>
      <c r="AK531">
        <v>20</v>
      </c>
      <c r="AL531" t="s">
        <v>155</v>
      </c>
      <c r="AO531" t="s">
        <v>155</v>
      </c>
      <c r="AR531" t="s">
        <v>155</v>
      </c>
      <c r="AU531" t="s">
        <v>155</v>
      </c>
      <c r="AX531" t="s">
        <v>155</v>
      </c>
      <c r="BA531" t="s">
        <v>155</v>
      </c>
      <c r="BF531">
        <v>10</v>
      </c>
      <c r="BI531">
        <v>0.1</v>
      </c>
    </row>
    <row r="532" spans="1:61" ht="16" x14ac:dyDescent="0.2">
      <c r="A532" s="25" t="s">
        <v>1293</v>
      </c>
      <c r="B532" t="s">
        <v>1294</v>
      </c>
      <c r="C532" t="s">
        <v>235</v>
      </c>
      <c r="D532" t="s">
        <v>129</v>
      </c>
      <c r="E532" s="1" t="s">
        <v>8</v>
      </c>
      <c r="F532" s="1" t="s">
        <v>141</v>
      </c>
      <c r="G532" t="s">
        <v>1295</v>
      </c>
      <c r="H532" t="s">
        <v>155</v>
      </c>
      <c r="K532">
        <v>1.5</v>
      </c>
      <c r="N532" t="s">
        <v>155</v>
      </c>
      <c r="Q532" t="s">
        <v>155</v>
      </c>
      <c r="T532" t="s">
        <v>155</v>
      </c>
      <c r="W532">
        <v>49</v>
      </c>
      <c r="Z532">
        <v>23</v>
      </c>
      <c r="AC532">
        <v>57</v>
      </c>
      <c r="AF532">
        <v>58466</v>
      </c>
      <c r="AI532">
        <v>17</v>
      </c>
      <c r="AL532" t="s">
        <v>155</v>
      </c>
      <c r="AO532">
        <v>705</v>
      </c>
      <c r="AR532">
        <v>17</v>
      </c>
      <c r="AU532" t="s">
        <v>155</v>
      </c>
      <c r="AX532" t="s">
        <v>155</v>
      </c>
      <c r="BA532">
        <v>186</v>
      </c>
      <c r="BD532">
        <v>88</v>
      </c>
      <c r="BG532" t="s">
        <v>155</v>
      </c>
    </row>
    <row r="533" spans="1:61" ht="16" x14ac:dyDescent="0.2">
      <c r="A533" s="25" t="s">
        <v>1293</v>
      </c>
      <c r="B533" t="s">
        <v>1294</v>
      </c>
      <c r="C533" t="s">
        <v>235</v>
      </c>
      <c r="D533" t="s">
        <v>129</v>
      </c>
      <c r="E533" s="1" t="s">
        <v>8</v>
      </c>
      <c r="F533" s="1" t="s">
        <v>141</v>
      </c>
      <c r="G533" t="s">
        <v>237</v>
      </c>
      <c r="H533">
        <v>41000</v>
      </c>
      <c r="K533" t="s">
        <v>155</v>
      </c>
      <c r="N533">
        <v>55</v>
      </c>
      <c r="Q533" t="s">
        <v>155</v>
      </c>
      <c r="T533">
        <v>56</v>
      </c>
      <c r="X533" s="16">
        <f>(150*1.29)</f>
        <v>193.5</v>
      </c>
      <c r="Z533">
        <v>14</v>
      </c>
      <c r="AC533">
        <v>40</v>
      </c>
      <c r="AF533">
        <v>67000</v>
      </c>
      <c r="AI533">
        <v>10</v>
      </c>
      <c r="AL533">
        <v>1400</v>
      </c>
      <c r="AO533">
        <v>290</v>
      </c>
      <c r="AR533">
        <v>28</v>
      </c>
      <c r="AU533" t="s">
        <v>155</v>
      </c>
      <c r="AX533" t="s">
        <v>155</v>
      </c>
      <c r="BA533">
        <v>200</v>
      </c>
      <c r="BD533">
        <v>31</v>
      </c>
      <c r="BG533" t="s">
        <v>155</v>
      </c>
    </row>
    <row r="534" spans="1:61" ht="16" x14ac:dyDescent="0.2">
      <c r="A534" s="25" t="s">
        <v>1293</v>
      </c>
      <c r="B534" t="s">
        <v>1294</v>
      </c>
      <c r="C534" t="s">
        <v>235</v>
      </c>
      <c r="D534" t="s">
        <v>129</v>
      </c>
      <c r="E534" s="1" t="s">
        <v>8</v>
      </c>
      <c r="F534" s="1" t="s">
        <v>140</v>
      </c>
      <c r="G534" t="s">
        <v>236</v>
      </c>
      <c r="H534">
        <v>32000</v>
      </c>
      <c r="K534" t="s">
        <v>155</v>
      </c>
      <c r="N534">
        <v>330</v>
      </c>
      <c r="S534">
        <v>1.1000000000000001</v>
      </c>
      <c r="T534">
        <v>2000</v>
      </c>
      <c r="X534" s="16">
        <f>(50*1.29)</f>
        <v>64.5</v>
      </c>
      <c r="Z534">
        <v>35</v>
      </c>
      <c r="AC534">
        <v>37</v>
      </c>
      <c r="AF534">
        <v>50000</v>
      </c>
      <c r="AI534">
        <v>6</v>
      </c>
      <c r="AL534">
        <v>9000</v>
      </c>
      <c r="AO534">
        <v>690</v>
      </c>
      <c r="AR534">
        <v>26</v>
      </c>
      <c r="AU534" t="s">
        <v>155</v>
      </c>
      <c r="AX534">
        <v>210</v>
      </c>
      <c r="BA534">
        <v>130</v>
      </c>
      <c r="BD534">
        <v>70</v>
      </c>
      <c r="BG534" t="s">
        <v>155</v>
      </c>
    </row>
    <row r="535" spans="1:61" ht="16" x14ac:dyDescent="0.2">
      <c r="A535" s="25" t="s">
        <v>1296</v>
      </c>
      <c r="B535" t="s">
        <v>1297</v>
      </c>
      <c r="C535" t="s">
        <v>512</v>
      </c>
      <c r="D535" t="s">
        <v>513</v>
      </c>
      <c r="E535" s="1" t="s">
        <v>168</v>
      </c>
      <c r="F535" s="1" t="s">
        <v>140</v>
      </c>
      <c r="G535" t="s">
        <v>1298</v>
      </c>
      <c r="H535" t="s">
        <v>155</v>
      </c>
      <c r="K535" t="s">
        <v>155</v>
      </c>
      <c r="N535" t="s">
        <v>155</v>
      </c>
      <c r="S535">
        <v>3.0000000000000001E-3</v>
      </c>
      <c r="T535" t="s">
        <v>155</v>
      </c>
      <c r="W535">
        <v>3.8E-3</v>
      </c>
      <c r="Z535" t="s">
        <v>155</v>
      </c>
      <c r="AC535" t="s">
        <v>155</v>
      </c>
      <c r="AF535" t="s">
        <v>155</v>
      </c>
      <c r="AI535">
        <v>7.8299999999999995E-2</v>
      </c>
      <c r="AL535" t="s">
        <v>155</v>
      </c>
      <c r="AO535" t="s">
        <v>155</v>
      </c>
      <c r="AR535" t="s">
        <v>155</v>
      </c>
      <c r="AU535" t="s">
        <v>155</v>
      </c>
      <c r="AX535" t="s">
        <v>155</v>
      </c>
      <c r="BA535" t="s">
        <v>155</v>
      </c>
      <c r="BD535">
        <v>63.9</v>
      </c>
      <c r="BG535" t="s">
        <v>155</v>
      </c>
    </row>
    <row r="536" spans="1:61" ht="16" x14ac:dyDescent="0.2">
      <c r="A536" s="25" t="s">
        <v>1296</v>
      </c>
      <c r="B536" t="s">
        <v>1297</v>
      </c>
      <c r="C536" t="s">
        <v>512</v>
      </c>
      <c r="D536" t="s">
        <v>513</v>
      </c>
      <c r="E536" s="1" t="s">
        <v>168</v>
      </c>
      <c r="F536" s="1" t="s">
        <v>140</v>
      </c>
      <c r="G536" t="s">
        <v>1299</v>
      </c>
      <c r="H536" t="s">
        <v>155</v>
      </c>
      <c r="K536" t="s">
        <v>155</v>
      </c>
      <c r="N536" t="s">
        <v>155</v>
      </c>
      <c r="S536">
        <v>16</v>
      </c>
      <c r="T536" t="s">
        <v>155</v>
      </c>
      <c r="Y536">
        <v>40</v>
      </c>
      <c r="Z536" t="s">
        <v>155</v>
      </c>
      <c r="AC536" t="s">
        <v>155</v>
      </c>
      <c r="AF536" t="s">
        <v>155</v>
      </c>
      <c r="AK536">
        <v>20</v>
      </c>
      <c r="AL536" t="s">
        <v>155</v>
      </c>
      <c r="AO536" t="s">
        <v>155</v>
      </c>
      <c r="AR536" t="s">
        <v>155</v>
      </c>
      <c r="AU536" t="s">
        <v>155</v>
      </c>
      <c r="AX536" t="s">
        <v>155</v>
      </c>
      <c r="BA536" t="s">
        <v>155</v>
      </c>
      <c r="BD536" t="s">
        <v>155</v>
      </c>
      <c r="BG536" t="s">
        <v>155</v>
      </c>
    </row>
    <row r="537" spans="1:61" x14ac:dyDescent="0.2">
      <c r="A537" s="10" t="s">
        <v>1300</v>
      </c>
      <c r="B537" s="10" t="s">
        <v>1301</v>
      </c>
      <c r="C537" s="10" t="s">
        <v>291</v>
      </c>
      <c r="D537" s="10" t="s">
        <v>292</v>
      </c>
      <c r="E537" s="11" t="s">
        <v>8</v>
      </c>
      <c r="F537" s="11" t="s">
        <v>140</v>
      </c>
      <c r="G537" s="10" t="s">
        <v>639</v>
      </c>
      <c r="J537">
        <v>50</v>
      </c>
      <c r="M537">
        <v>1</v>
      </c>
      <c r="P537">
        <v>0.42</v>
      </c>
      <c r="S537">
        <v>0.83</v>
      </c>
      <c r="V537">
        <v>30</v>
      </c>
      <c r="Y537">
        <v>1</v>
      </c>
      <c r="AB537">
        <v>1</v>
      </c>
      <c r="AE537">
        <v>0.83</v>
      </c>
      <c r="AF537">
        <v>40</v>
      </c>
      <c r="AK537">
        <v>1</v>
      </c>
      <c r="AN537">
        <v>8.8000000000000007</v>
      </c>
      <c r="AQ537">
        <v>0.42</v>
      </c>
      <c r="AT537">
        <v>2.2999999999999998</v>
      </c>
      <c r="AW537">
        <v>380</v>
      </c>
      <c r="AZ537">
        <v>110</v>
      </c>
      <c r="BC537">
        <v>0.83</v>
      </c>
      <c r="BF537">
        <v>4</v>
      </c>
      <c r="BI537">
        <v>0.1</v>
      </c>
    </row>
    <row r="538" spans="1:61" x14ac:dyDescent="0.2">
      <c r="A538" t="s">
        <v>1302</v>
      </c>
      <c r="B538" t="s">
        <v>1303</v>
      </c>
      <c r="C538" t="s">
        <v>1304</v>
      </c>
      <c r="D538" t="s">
        <v>478</v>
      </c>
      <c r="F538" s="1" t="s">
        <v>140</v>
      </c>
      <c r="G538" t="s">
        <v>1305</v>
      </c>
      <c r="H538" t="s">
        <v>155</v>
      </c>
      <c r="M538">
        <v>4</v>
      </c>
      <c r="N538">
        <v>4</v>
      </c>
      <c r="S538">
        <v>4</v>
      </c>
      <c r="T538" t="s">
        <v>155</v>
      </c>
      <c r="Y538">
        <v>4</v>
      </c>
      <c r="AB538">
        <v>4</v>
      </c>
      <c r="AE538">
        <v>10</v>
      </c>
      <c r="AF538">
        <v>1020</v>
      </c>
      <c r="AI538">
        <v>4</v>
      </c>
      <c r="AL538" t="s">
        <v>155</v>
      </c>
      <c r="AQ538">
        <v>6</v>
      </c>
      <c r="AT538">
        <v>4</v>
      </c>
      <c r="AU538" t="s">
        <v>155</v>
      </c>
      <c r="AX538" t="s">
        <v>155</v>
      </c>
      <c r="BA538" t="s">
        <v>155</v>
      </c>
      <c r="BD538">
        <v>18</v>
      </c>
      <c r="BI538">
        <v>0.2</v>
      </c>
    </row>
    <row r="539" spans="1:61" x14ac:dyDescent="0.2">
      <c r="A539" t="s">
        <v>1302</v>
      </c>
      <c r="B539" t="s">
        <v>1303</v>
      </c>
      <c r="C539" t="s">
        <v>1304</v>
      </c>
      <c r="D539" t="s">
        <v>478</v>
      </c>
      <c r="F539" s="1" t="s">
        <v>153</v>
      </c>
      <c r="G539" t="s">
        <v>1306</v>
      </c>
      <c r="H539" t="s">
        <v>155</v>
      </c>
      <c r="M539">
        <v>4</v>
      </c>
      <c r="N539">
        <v>36</v>
      </c>
      <c r="S539">
        <v>4</v>
      </c>
      <c r="T539" t="s">
        <v>155</v>
      </c>
      <c r="W539">
        <v>10</v>
      </c>
      <c r="AB539">
        <v>4</v>
      </c>
      <c r="AE539">
        <v>10</v>
      </c>
      <c r="AF539">
        <v>8056</v>
      </c>
      <c r="AI539">
        <v>10</v>
      </c>
      <c r="AL539" t="s">
        <v>155</v>
      </c>
      <c r="AO539">
        <v>212</v>
      </c>
      <c r="AR539">
        <v>14</v>
      </c>
      <c r="AU539" t="s">
        <v>155</v>
      </c>
      <c r="AX539" t="s">
        <v>155</v>
      </c>
      <c r="BA539" t="s">
        <v>155</v>
      </c>
      <c r="BD539">
        <v>30</v>
      </c>
      <c r="BI539">
        <v>0.2</v>
      </c>
    </row>
    <row r="540" spans="1:61" x14ac:dyDescent="0.2">
      <c r="A540" t="s">
        <v>1302</v>
      </c>
      <c r="B540" t="s">
        <v>1303</v>
      </c>
      <c r="C540" t="s">
        <v>1304</v>
      </c>
      <c r="D540" t="s">
        <v>478</v>
      </c>
      <c r="F540" s="1" t="s">
        <v>153</v>
      </c>
      <c r="G540" t="s">
        <v>1307</v>
      </c>
      <c r="H540" t="s">
        <v>155</v>
      </c>
      <c r="M540">
        <v>4</v>
      </c>
      <c r="N540">
        <v>36</v>
      </c>
      <c r="S540">
        <v>4</v>
      </c>
      <c r="T540" t="s">
        <v>155</v>
      </c>
      <c r="W540">
        <v>12</v>
      </c>
      <c r="AB540">
        <v>4</v>
      </c>
      <c r="AC540">
        <v>10</v>
      </c>
      <c r="AF540">
        <v>7420</v>
      </c>
      <c r="AI540">
        <v>12</v>
      </c>
      <c r="AL540" t="s">
        <v>155</v>
      </c>
      <c r="AO540">
        <v>148</v>
      </c>
      <c r="AR540">
        <v>14</v>
      </c>
      <c r="AU540" t="s">
        <v>155</v>
      </c>
      <c r="AX540" t="s">
        <v>155</v>
      </c>
      <c r="BA540" t="s">
        <v>155</v>
      </c>
      <c r="BD540">
        <v>40</v>
      </c>
      <c r="BI540">
        <v>0.2</v>
      </c>
    </row>
    <row r="541" spans="1:61" x14ac:dyDescent="0.2">
      <c r="A541" t="s">
        <v>1302</v>
      </c>
      <c r="B541" t="s">
        <v>1303</v>
      </c>
      <c r="C541" t="s">
        <v>1304</v>
      </c>
      <c r="D541" t="s">
        <v>478</v>
      </c>
      <c r="F541" s="1" t="s">
        <v>153</v>
      </c>
      <c r="G541" t="s">
        <v>1308</v>
      </c>
      <c r="H541" t="s">
        <v>155</v>
      </c>
      <c r="M541">
        <v>4</v>
      </c>
      <c r="P541">
        <v>6</v>
      </c>
      <c r="S541">
        <v>4</v>
      </c>
      <c r="T541" t="s">
        <v>155</v>
      </c>
      <c r="Y541">
        <v>4</v>
      </c>
      <c r="AB541">
        <v>4</v>
      </c>
      <c r="AE541">
        <v>10</v>
      </c>
      <c r="AF541">
        <v>569</v>
      </c>
      <c r="AK541">
        <v>4</v>
      </c>
      <c r="AL541" t="s">
        <v>155</v>
      </c>
      <c r="AO541">
        <v>6</v>
      </c>
      <c r="AT541">
        <v>4</v>
      </c>
      <c r="AU541" t="s">
        <v>155</v>
      </c>
      <c r="AX541" t="s">
        <v>155</v>
      </c>
      <c r="BA541" t="s">
        <v>155</v>
      </c>
      <c r="BF541">
        <v>10</v>
      </c>
      <c r="BI541">
        <v>0.2</v>
      </c>
    </row>
    <row r="542" spans="1:61" x14ac:dyDescent="0.2">
      <c r="A542" s="10" t="s">
        <v>1309</v>
      </c>
      <c r="B542" s="10" t="s">
        <v>1310</v>
      </c>
      <c r="C542" s="10" t="s">
        <v>1311</v>
      </c>
      <c r="D542" s="10" t="s">
        <v>127</v>
      </c>
      <c r="E542" s="11"/>
      <c r="F542" s="11" t="s">
        <v>140</v>
      </c>
      <c r="G542" s="10" t="s">
        <v>1312</v>
      </c>
      <c r="I542" s="16">
        <f>(1600*1.66)</f>
        <v>2656</v>
      </c>
      <c r="M542">
        <v>0.95</v>
      </c>
      <c r="N542">
        <v>2.6</v>
      </c>
      <c r="S542">
        <v>0.14000000000000001</v>
      </c>
      <c r="U542" s="16">
        <f>(32*1.28)</f>
        <v>40.96</v>
      </c>
      <c r="X542" s="16">
        <f>(2.4*1.29)</f>
        <v>3.0960000000000001</v>
      </c>
      <c r="AB542">
        <v>0.16</v>
      </c>
      <c r="AE542">
        <v>0.28999999999999998</v>
      </c>
      <c r="AG542" s="16">
        <f>(1100*1.34)</f>
        <v>1474</v>
      </c>
      <c r="AK542">
        <v>2.2000000000000002</v>
      </c>
      <c r="AL542">
        <v>34</v>
      </c>
      <c r="AQ542">
        <v>1.1000000000000001</v>
      </c>
      <c r="AT542">
        <v>0.3</v>
      </c>
      <c r="AV542" s="16">
        <f>(41*17.49)</f>
        <v>717.08999999999992</v>
      </c>
      <c r="AZ542">
        <v>160</v>
      </c>
      <c r="BA542">
        <v>3.8</v>
      </c>
      <c r="BE542" s="16">
        <f>(0.41*1.5)</f>
        <v>0.61499999999999999</v>
      </c>
      <c r="BI542">
        <v>0.06</v>
      </c>
    </row>
    <row r="543" spans="1:61" x14ac:dyDescent="0.2">
      <c r="A543" t="s">
        <v>1309</v>
      </c>
      <c r="B543" t="s">
        <v>1310</v>
      </c>
      <c r="C543" t="s">
        <v>1311</v>
      </c>
      <c r="D543" t="s">
        <v>127</v>
      </c>
      <c r="F543" s="1" t="s">
        <v>153</v>
      </c>
      <c r="G543" t="s">
        <v>1313</v>
      </c>
      <c r="H543" t="s">
        <v>155</v>
      </c>
      <c r="M543">
        <v>1</v>
      </c>
      <c r="N543">
        <v>3.5</v>
      </c>
      <c r="S543">
        <v>1</v>
      </c>
      <c r="T543" t="s">
        <v>155</v>
      </c>
      <c r="W543">
        <v>1</v>
      </c>
      <c r="Z543" t="s">
        <v>155</v>
      </c>
      <c r="AE543">
        <v>2.5</v>
      </c>
      <c r="AF543" t="s">
        <v>155</v>
      </c>
      <c r="AI543">
        <v>4</v>
      </c>
      <c r="AL543" t="s">
        <v>155</v>
      </c>
      <c r="AO543" t="s">
        <v>155</v>
      </c>
      <c r="AT543">
        <v>1</v>
      </c>
      <c r="AU543" t="s">
        <v>155</v>
      </c>
      <c r="AX543" t="s">
        <v>155</v>
      </c>
      <c r="BA543" t="s">
        <v>155</v>
      </c>
      <c r="BD543">
        <v>6</v>
      </c>
      <c r="BI543">
        <v>0.05</v>
      </c>
    </row>
    <row r="544" spans="1:61" x14ac:dyDescent="0.2">
      <c r="A544" t="s">
        <v>1309</v>
      </c>
      <c r="B544" t="s">
        <v>1310</v>
      </c>
      <c r="C544" t="s">
        <v>1311</v>
      </c>
      <c r="D544" t="s">
        <v>127</v>
      </c>
      <c r="F544" s="1" t="s">
        <v>153</v>
      </c>
      <c r="G544" t="s">
        <v>1314</v>
      </c>
      <c r="H544" t="s">
        <v>155</v>
      </c>
      <c r="M544">
        <v>1</v>
      </c>
      <c r="N544">
        <v>4.5</v>
      </c>
      <c r="S544">
        <v>1</v>
      </c>
      <c r="T544" t="s">
        <v>155</v>
      </c>
      <c r="W544">
        <v>3</v>
      </c>
      <c r="Z544" t="s">
        <v>155</v>
      </c>
      <c r="AE544">
        <v>2.5</v>
      </c>
      <c r="AF544" t="s">
        <v>155</v>
      </c>
      <c r="AI544">
        <v>3.5</v>
      </c>
      <c r="AL544" t="s">
        <v>155</v>
      </c>
      <c r="AO544" t="s">
        <v>155</v>
      </c>
      <c r="AT544">
        <v>1</v>
      </c>
      <c r="AU544" t="s">
        <v>155</v>
      </c>
      <c r="AX544" t="s">
        <v>155</v>
      </c>
      <c r="BA544" t="s">
        <v>155</v>
      </c>
      <c r="BD544">
        <v>8.5</v>
      </c>
      <c r="BI544">
        <v>0.05</v>
      </c>
    </row>
    <row r="545" spans="1:61" x14ac:dyDescent="0.2">
      <c r="A545" t="s">
        <v>1309</v>
      </c>
      <c r="B545" t="s">
        <v>1310</v>
      </c>
      <c r="C545" t="s">
        <v>1311</v>
      </c>
      <c r="D545" t="s">
        <v>127</v>
      </c>
      <c r="F545" s="1" t="s">
        <v>153</v>
      </c>
      <c r="G545" t="s">
        <v>1315</v>
      </c>
      <c r="H545" t="s">
        <v>155</v>
      </c>
      <c r="M545">
        <v>1</v>
      </c>
      <c r="N545">
        <v>13</v>
      </c>
      <c r="S545">
        <v>1</v>
      </c>
      <c r="T545" t="s">
        <v>155</v>
      </c>
      <c r="W545">
        <v>9</v>
      </c>
      <c r="Z545" t="s">
        <v>155</v>
      </c>
      <c r="AC545">
        <v>3</v>
      </c>
      <c r="AF545" t="s">
        <v>155</v>
      </c>
      <c r="AI545">
        <v>20</v>
      </c>
      <c r="AL545" t="s">
        <v>155</v>
      </c>
      <c r="AO545" t="s">
        <v>155</v>
      </c>
      <c r="AR545">
        <v>1.5</v>
      </c>
      <c r="AU545" t="s">
        <v>155</v>
      </c>
      <c r="AX545" t="s">
        <v>155</v>
      </c>
      <c r="BA545" t="s">
        <v>155</v>
      </c>
      <c r="BD545">
        <v>48</v>
      </c>
      <c r="BG545">
        <v>7.0000000000000007E-2</v>
      </c>
    </row>
    <row r="546" spans="1:61" x14ac:dyDescent="0.2">
      <c r="A546" t="s">
        <v>1316</v>
      </c>
      <c r="B546" t="s">
        <v>1317</v>
      </c>
      <c r="C546" t="s">
        <v>1318</v>
      </c>
      <c r="D546" t="s">
        <v>406</v>
      </c>
      <c r="E546" s="1" t="s">
        <v>168</v>
      </c>
      <c r="F546" s="1" t="s">
        <v>140</v>
      </c>
      <c r="G546" t="s">
        <v>1319</v>
      </c>
      <c r="H546" t="s">
        <v>155</v>
      </c>
      <c r="K546" t="s">
        <v>155</v>
      </c>
      <c r="P546">
        <v>13.3</v>
      </c>
      <c r="Q546" t="s">
        <v>155</v>
      </c>
      <c r="T546">
        <v>4300</v>
      </c>
      <c r="W546">
        <v>8.4</v>
      </c>
      <c r="Z546" t="s">
        <v>155</v>
      </c>
      <c r="AE546">
        <v>2.1</v>
      </c>
      <c r="AF546" t="s">
        <v>155</v>
      </c>
      <c r="AI546" t="s">
        <v>155</v>
      </c>
      <c r="AN546">
        <v>963</v>
      </c>
      <c r="AO546" t="s">
        <v>155</v>
      </c>
      <c r="AR546" t="s">
        <v>155</v>
      </c>
      <c r="AW546">
        <v>800</v>
      </c>
      <c r="AZ546">
        <v>223</v>
      </c>
      <c r="BA546" t="s">
        <v>155</v>
      </c>
      <c r="BF546">
        <v>14.8</v>
      </c>
      <c r="BI546">
        <v>0.21</v>
      </c>
    </row>
    <row r="547" spans="1:61" x14ac:dyDescent="0.2">
      <c r="A547" t="s">
        <v>1316</v>
      </c>
      <c r="B547" t="s">
        <v>1317</v>
      </c>
      <c r="C547" t="s">
        <v>1318</v>
      </c>
      <c r="D547" t="s">
        <v>406</v>
      </c>
      <c r="E547" s="1" t="s">
        <v>168</v>
      </c>
      <c r="F547" s="1" t="s">
        <v>140</v>
      </c>
      <c r="G547" t="s">
        <v>1320</v>
      </c>
      <c r="H547" t="s">
        <v>155</v>
      </c>
      <c r="K547" t="s">
        <v>155</v>
      </c>
      <c r="P547">
        <v>14</v>
      </c>
      <c r="Q547" t="s">
        <v>155</v>
      </c>
      <c r="T547" t="s">
        <v>155</v>
      </c>
      <c r="W547">
        <v>7.8</v>
      </c>
      <c r="Z547" t="s">
        <v>155</v>
      </c>
      <c r="AE547">
        <v>2</v>
      </c>
      <c r="AF547" t="s">
        <v>155</v>
      </c>
      <c r="AI547" t="s">
        <v>155</v>
      </c>
      <c r="AN547">
        <v>710</v>
      </c>
      <c r="AO547" t="s">
        <v>155</v>
      </c>
      <c r="AR547" t="s">
        <v>155</v>
      </c>
      <c r="AW547">
        <v>776</v>
      </c>
      <c r="AZ547">
        <v>358</v>
      </c>
      <c r="BA547" t="s">
        <v>155</v>
      </c>
      <c r="BF547">
        <v>11.9</v>
      </c>
      <c r="BI547">
        <v>0.13</v>
      </c>
    </row>
    <row r="548" spans="1:61" x14ac:dyDescent="0.2">
      <c r="A548" t="s">
        <v>1316</v>
      </c>
      <c r="B548" t="s">
        <v>1317</v>
      </c>
      <c r="C548" t="s">
        <v>1318</v>
      </c>
      <c r="D548" t="s">
        <v>406</v>
      </c>
      <c r="E548" s="1" t="s">
        <v>168</v>
      </c>
      <c r="F548" s="1" t="s">
        <v>140</v>
      </c>
      <c r="G548" t="s">
        <v>1321</v>
      </c>
      <c r="H548" t="s">
        <v>155</v>
      </c>
      <c r="K548" t="s">
        <v>155</v>
      </c>
      <c r="P548">
        <v>12.9</v>
      </c>
      <c r="Q548" t="s">
        <v>155</v>
      </c>
      <c r="T548" t="s">
        <v>155</v>
      </c>
      <c r="W548">
        <v>8.1</v>
      </c>
      <c r="Z548" t="s">
        <v>155</v>
      </c>
      <c r="AE548">
        <v>2.2999999999999998</v>
      </c>
      <c r="AF548" t="s">
        <v>155</v>
      </c>
      <c r="AI548" t="s">
        <v>155</v>
      </c>
      <c r="AN548">
        <v>648</v>
      </c>
      <c r="AO548" t="s">
        <v>155</v>
      </c>
      <c r="AR548" t="s">
        <v>155</v>
      </c>
      <c r="AW548">
        <v>840</v>
      </c>
      <c r="AZ548">
        <v>317</v>
      </c>
      <c r="BA548" t="s">
        <v>155</v>
      </c>
      <c r="BF548">
        <v>10.5</v>
      </c>
      <c r="BI548">
        <v>0.13</v>
      </c>
    </row>
    <row r="549" spans="1:61" x14ac:dyDescent="0.2">
      <c r="A549" t="s">
        <v>1316</v>
      </c>
      <c r="B549" t="s">
        <v>1317</v>
      </c>
      <c r="C549" t="s">
        <v>1318</v>
      </c>
      <c r="D549" t="s">
        <v>406</v>
      </c>
      <c r="E549" s="1" t="s">
        <v>168</v>
      </c>
      <c r="F549" s="1" t="s">
        <v>140</v>
      </c>
      <c r="G549" t="s">
        <v>1322</v>
      </c>
      <c r="H549" t="s">
        <v>155</v>
      </c>
      <c r="K549" t="s">
        <v>155</v>
      </c>
      <c r="P549">
        <v>12.8</v>
      </c>
      <c r="Q549" t="s">
        <v>155</v>
      </c>
      <c r="T549" t="s">
        <v>155</v>
      </c>
      <c r="W549">
        <v>6.9</v>
      </c>
      <c r="Z549" t="s">
        <v>155</v>
      </c>
      <c r="AE549">
        <v>2.5</v>
      </c>
      <c r="AF549" t="s">
        <v>155</v>
      </c>
      <c r="AI549" t="s">
        <v>155</v>
      </c>
      <c r="AN549">
        <v>686</v>
      </c>
      <c r="AO549" t="s">
        <v>155</v>
      </c>
      <c r="AR549" t="s">
        <v>155</v>
      </c>
      <c r="AW549">
        <v>851</v>
      </c>
      <c r="AZ549">
        <v>237</v>
      </c>
      <c r="BA549" t="s">
        <v>155</v>
      </c>
      <c r="BF549">
        <v>12.7</v>
      </c>
      <c r="BI549">
        <v>0.13</v>
      </c>
    </row>
    <row r="550" spans="1:61" x14ac:dyDescent="0.2">
      <c r="A550" t="s">
        <v>1316</v>
      </c>
      <c r="B550" t="s">
        <v>1317</v>
      </c>
      <c r="C550" t="s">
        <v>1318</v>
      </c>
      <c r="D550" t="s">
        <v>406</v>
      </c>
      <c r="E550" s="1" t="s">
        <v>168</v>
      </c>
      <c r="F550" s="1" t="s">
        <v>140</v>
      </c>
      <c r="G550" t="s">
        <v>1323</v>
      </c>
      <c r="H550" t="s">
        <v>155</v>
      </c>
      <c r="K550" t="s">
        <v>155</v>
      </c>
      <c r="P550">
        <v>16.100000000000001</v>
      </c>
      <c r="Q550" t="s">
        <v>155</v>
      </c>
      <c r="T550" t="s">
        <v>155</v>
      </c>
      <c r="W550">
        <v>8.5</v>
      </c>
      <c r="Z550" t="s">
        <v>155</v>
      </c>
      <c r="AE550">
        <v>4.3</v>
      </c>
      <c r="AF550" t="s">
        <v>155</v>
      </c>
      <c r="AI550" t="s">
        <v>155</v>
      </c>
      <c r="AN550">
        <v>838</v>
      </c>
      <c r="AO550" t="s">
        <v>155</v>
      </c>
      <c r="AR550">
        <v>7</v>
      </c>
      <c r="AW550">
        <v>1040</v>
      </c>
      <c r="AZ550">
        <v>235</v>
      </c>
      <c r="BA550" t="s">
        <v>155</v>
      </c>
      <c r="BD550" t="s">
        <v>155</v>
      </c>
      <c r="BE550" s="36"/>
      <c r="BI550">
        <v>0.13</v>
      </c>
    </row>
    <row r="551" spans="1:61" x14ac:dyDescent="0.2">
      <c r="A551" t="s">
        <v>1324</v>
      </c>
      <c r="B551" t="s">
        <v>1325</v>
      </c>
      <c r="C551" t="s">
        <v>1326</v>
      </c>
      <c r="D551" t="s">
        <v>627</v>
      </c>
      <c r="E551" s="1" t="s">
        <v>8</v>
      </c>
      <c r="F551" s="1" t="s">
        <v>140</v>
      </c>
      <c r="G551" t="s">
        <v>1327</v>
      </c>
      <c r="H551" t="s">
        <v>155</v>
      </c>
      <c r="K551">
        <v>1.21</v>
      </c>
      <c r="N551" t="s">
        <v>155</v>
      </c>
      <c r="Q551" t="s">
        <v>155</v>
      </c>
      <c r="T551" t="s">
        <v>155</v>
      </c>
      <c r="W551">
        <v>3.89</v>
      </c>
      <c r="Z551" t="s">
        <v>155</v>
      </c>
      <c r="AC551">
        <v>6.15</v>
      </c>
      <c r="AF551" t="s">
        <v>155</v>
      </c>
      <c r="AI551">
        <v>23.1</v>
      </c>
      <c r="AL551" t="s">
        <v>155</v>
      </c>
      <c r="AO551" t="s">
        <v>155</v>
      </c>
      <c r="AR551" t="s">
        <v>155</v>
      </c>
      <c r="AU551" t="s">
        <v>155</v>
      </c>
      <c r="AX551" t="s">
        <v>155</v>
      </c>
      <c r="BA551" t="s">
        <v>155</v>
      </c>
      <c r="BD551">
        <v>18</v>
      </c>
      <c r="BG551" t="s">
        <v>155</v>
      </c>
    </row>
    <row r="552" spans="1:61" x14ac:dyDescent="0.2">
      <c r="A552" t="s">
        <v>1324</v>
      </c>
      <c r="B552" t="s">
        <v>1325</v>
      </c>
      <c r="C552" t="s">
        <v>1326</v>
      </c>
      <c r="D552" t="s">
        <v>627</v>
      </c>
      <c r="E552" s="1" t="s">
        <v>8</v>
      </c>
      <c r="F552" s="1" t="s">
        <v>140</v>
      </c>
      <c r="G552" t="s">
        <v>1328</v>
      </c>
      <c r="H552" t="s">
        <v>155</v>
      </c>
      <c r="K552">
        <v>1.93</v>
      </c>
      <c r="N552" t="s">
        <v>155</v>
      </c>
      <c r="Q552" t="s">
        <v>155</v>
      </c>
      <c r="T552" t="s">
        <v>155</v>
      </c>
      <c r="W552">
        <v>2.58</v>
      </c>
      <c r="Z552" t="s">
        <v>155</v>
      </c>
      <c r="AC552">
        <v>7.94</v>
      </c>
      <c r="AF552" t="s">
        <v>155</v>
      </c>
      <c r="AI552">
        <v>25.1</v>
      </c>
      <c r="AL552" t="s">
        <v>155</v>
      </c>
      <c r="AO552" t="s">
        <v>155</v>
      </c>
      <c r="AR552" t="s">
        <v>155</v>
      </c>
      <c r="AU552" t="s">
        <v>155</v>
      </c>
      <c r="AX552" t="s">
        <v>155</v>
      </c>
      <c r="BA552" t="s">
        <v>155</v>
      </c>
      <c r="BD552">
        <v>31.3</v>
      </c>
      <c r="BG552" t="s">
        <v>155</v>
      </c>
    </row>
    <row r="553" spans="1:61" x14ac:dyDescent="0.2">
      <c r="A553" t="s">
        <v>1324</v>
      </c>
      <c r="B553" t="s">
        <v>1325</v>
      </c>
      <c r="C553" t="s">
        <v>1326</v>
      </c>
      <c r="D553" t="s">
        <v>627</v>
      </c>
      <c r="E553" s="1" t="s">
        <v>8</v>
      </c>
      <c r="F553" s="1" t="s">
        <v>140</v>
      </c>
      <c r="G553" t="s">
        <v>1329</v>
      </c>
      <c r="H553" t="s">
        <v>155</v>
      </c>
      <c r="K553">
        <v>1.22</v>
      </c>
      <c r="N553" t="s">
        <v>155</v>
      </c>
      <c r="Q553" t="s">
        <v>155</v>
      </c>
      <c r="T553" t="s">
        <v>155</v>
      </c>
      <c r="W553">
        <v>6.91</v>
      </c>
      <c r="Z553" t="s">
        <v>155</v>
      </c>
      <c r="AC553">
        <v>2.92</v>
      </c>
      <c r="AF553" t="s">
        <v>155</v>
      </c>
      <c r="AI553">
        <v>8.52</v>
      </c>
      <c r="AL553" t="s">
        <v>155</v>
      </c>
      <c r="AO553" t="s">
        <v>155</v>
      </c>
      <c r="AR553" t="s">
        <v>155</v>
      </c>
      <c r="AU553" t="s">
        <v>155</v>
      </c>
      <c r="AX553" t="s">
        <v>155</v>
      </c>
      <c r="BA553" t="s">
        <v>155</v>
      </c>
      <c r="BD553">
        <v>6.17</v>
      </c>
      <c r="BG553" t="s">
        <v>155</v>
      </c>
    </row>
    <row r="554" spans="1:61" x14ac:dyDescent="0.2">
      <c r="A554" t="s">
        <v>1324</v>
      </c>
      <c r="B554" t="s">
        <v>1325</v>
      </c>
      <c r="C554" t="s">
        <v>1326</v>
      </c>
      <c r="D554" t="s">
        <v>627</v>
      </c>
      <c r="E554" s="1" t="s">
        <v>8</v>
      </c>
      <c r="F554" s="1" t="s">
        <v>140</v>
      </c>
      <c r="G554" t="s">
        <v>1330</v>
      </c>
      <c r="H554" t="s">
        <v>155</v>
      </c>
      <c r="K554" t="s">
        <v>155</v>
      </c>
      <c r="N554" t="s">
        <v>155</v>
      </c>
      <c r="Q554" t="s">
        <v>155</v>
      </c>
      <c r="T554" t="s">
        <v>155</v>
      </c>
      <c r="W554">
        <v>5.17</v>
      </c>
      <c r="Z554" t="s">
        <v>155</v>
      </c>
      <c r="AC554">
        <v>1.38</v>
      </c>
      <c r="AF554" t="s">
        <v>155</v>
      </c>
      <c r="AI554">
        <v>5.73</v>
      </c>
      <c r="AL554" t="s">
        <v>155</v>
      </c>
      <c r="AO554" t="s">
        <v>155</v>
      </c>
      <c r="AR554" t="s">
        <v>155</v>
      </c>
      <c r="AU554" t="s">
        <v>155</v>
      </c>
      <c r="AX554" t="s">
        <v>155</v>
      </c>
      <c r="BA554" t="s">
        <v>155</v>
      </c>
      <c r="BD554">
        <v>3.3</v>
      </c>
      <c r="BG554" t="s">
        <v>155</v>
      </c>
    </row>
    <row r="555" spans="1:61" x14ac:dyDescent="0.2">
      <c r="A555" t="s">
        <v>1324</v>
      </c>
      <c r="B555" t="s">
        <v>1325</v>
      </c>
      <c r="C555" t="s">
        <v>1326</v>
      </c>
      <c r="D555" t="s">
        <v>627</v>
      </c>
      <c r="E555" s="1" t="s">
        <v>8</v>
      </c>
      <c r="F555" s="1" t="s">
        <v>140</v>
      </c>
      <c r="G555" t="s">
        <v>1331</v>
      </c>
      <c r="H555" t="s">
        <v>155</v>
      </c>
      <c r="K555">
        <v>0.875</v>
      </c>
      <c r="N555" t="s">
        <v>155</v>
      </c>
      <c r="Q555" t="s">
        <v>155</v>
      </c>
      <c r="T555" t="s">
        <v>155</v>
      </c>
      <c r="W555">
        <v>3.77</v>
      </c>
      <c r="Z555" t="s">
        <v>155</v>
      </c>
      <c r="AC555">
        <v>3.73</v>
      </c>
      <c r="AF555" t="s">
        <v>155</v>
      </c>
      <c r="AI555">
        <v>5.98</v>
      </c>
      <c r="AL555" t="s">
        <v>155</v>
      </c>
      <c r="AO555" t="s">
        <v>155</v>
      </c>
      <c r="AR555" t="s">
        <v>155</v>
      </c>
      <c r="AU555" t="s">
        <v>155</v>
      </c>
      <c r="AX555" t="s">
        <v>155</v>
      </c>
      <c r="BA555" t="s">
        <v>155</v>
      </c>
      <c r="BD555">
        <v>11</v>
      </c>
      <c r="BG555" t="s">
        <v>155</v>
      </c>
    </row>
    <row r="556" spans="1:61" x14ac:dyDescent="0.2">
      <c r="A556" t="s">
        <v>1324</v>
      </c>
      <c r="B556" t="s">
        <v>1325</v>
      </c>
      <c r="C556" t="s">
        <v>1326</v>
      </c>
      <c r="D556" t="s">
        <v>627</v>
      </c>
      <c r="E556" s="1" t="s">
        <v>8</v>
      </c>
      <c r="F556" s="1" t="s">
        <v>140</v>
      </c>
      <c r="G556" t="s">
        <v>1332</v>
      </c>
      <c r="H556" t="s">
        <v>155</v>
      </c>
      <c r="K556">
        <v>2.1</v>
      </c>
      <c r="N556" t="s">
        <v>155</v>
      </c>
      <c r="Q556" t="s">
        <v>155</v>
      </c>
      <c r="T556" t="s">
        <v>155</v>
      </c>
      <c r="W556">
        <v>7.47</v>
      </c>
      <c r="Z556" t="s">
        <v>155</v>
      </c>
      <c r="AC556">
        <v>3.94</v>
      </c>
      <c r="AF556" t="s">
        <v>155</v>
      </c>
      <c r="AI556">
        <v>8.3000000000000007</v>
      </c>
      <c r="AL556" t="s">
        <v>155</v>
      </c>
      <c r="AO556" t="s">
        <v>155</v>
      </c>
      <c r="AR556">
        <v>3.29</v>
      </c>
      <c r="AU556" t="s">
        <v>155</v>
      </c>
      <c r="AX556" t="s">
        <v>155</v>
      </c>
      <c r="BA556" t="s">
        <v>155</v>
      </c>
      <c r="BD556">
        <v>22.8</v>
      </c>
      <c r="BG556" t="s">
        <v>155</v>
      </c>
    </row>
    <row r="557" spans="1:61" x14ac:dyDescent="0.2">
      <c r="A557" t="s">
        <v>1333</v>
      </c>
      <c r="B557" t="s">
        <v>1334</v>
      </c>
      <c r="C557" t="s">
        <v>180</v>
      </c>
      <c r="D557" t="s">
        <v>135</v>
      </c>
      <c r="E557" s="1" t="s">
        <v>8</v>
      </c>
      <c r="F557" s="1" t="s">
        <v>153</v>
      </c>
      <c r="G557" s="32" t="s">
        <v>1335</v>
      </c>
      <c r="H557">
        <v>22000</v>
      </c>
      <c r="K557" t="s">
        <v>155</v>
      </c>
      <c r="N557">
        <v>90</v>
      </c>
      <c r="S557">
        <v>0.72</v>
      </c>
      <c r="V557">
        <v>720</v>
      </c>
      <c r="W557">
        <v>41</v>
      </c>
      <c r="Z557">
        <v>9.3000000000000007</v>
      </c>
      <c r="AC557">
        <v>74</v>
      </c>
      <c r="AF557">
        <v>43000</v>
      </c>
      <c r="AJ557" s="16">
        <f>(46*1.44)</f>
        <v>66.239999999999995</v>
      </c>
      <c r="AM557" s="16">
        <f>(1400*1.23)</f>
        <v>1722</v>
      </c>
      <c r="AP557" s="16">
        <f>(180*1.24)</f>
        <v>223.2</v>
      </c>
      <c r="AR557">
        <v>6.7</v>
      </c>
      <c r="AU557" t="s">
        <v>155</v>
      </c>
      <c r="AZ557">
        <v>720</v>
      </c>
      <c r="BA557">
        <v>140</v>
      </c>
      <c r="BD557">
        <v>56</v>
      </c>
      <c r="BG557" t="s">
        <v>155</v>
      </c>
    </row>
    <row r="558" spans="1:61" x14ac:dyDescent="0.2">
      <c r="A558" t="s">
        <v>1333</v>
      </c>
      <c r="B558" t="s">
        <v>1334</v>
      </c>
      <c r="C558" t="s">
        <v>180</v>
      </c>
      <c r="D558" t="s">
        <v>135</v>
      </c>
      <c r="E558" s="1" t="s">
        <v>8</v>
      </c>
      <c r="F558" s="1" t="s">
        <v>153</v>
      </c>
      <c r="G558" s="32" t="s">
        <v>1336</v>
      </c>
      <c r="H558">
        <v>17000</v>
      </c>
      <c r="K558" t="s">
        <v>155</v>
      </c>
      <c r="N558">
        <v>84</v>
      </c>
      <c r="S558">
        <v>0.63</v>
      </c>
      <c r="U558" s="16">
        <f>(2900*1.29)</f>
        <v>3741</v>
      </c>
      <c r="W558">
        <v>34</v>
      </c>
      <c r="Z558">
        <v>21</v>
      </c>
      <c r="AC558">
        <v>43</v>
      </c>
      <c r="AF558">
        <v>44000</v>
      </c>
      <c r="AJ558" s="16">
        <f>(21*1.44)</f>
        <v>30.24</v>
      </c>
      <c r="AM558" s="16">
        <f>(1700*1.23)</f>
        <v>2091</v>
      </c>
      <c r="AP558" s="16">
        <f>(1100*1.24)</f>
        <v>1364</v>
      </c>
      <c r="AR558">
        <v>6.2</v>
      </c>
      <c r="AU558" t="s">
        <v>155</v>
      </c>
      <c r="AZ558">
        <v>630</v>
      </c>
      <c r="BA558">
        <v>160</v>
      </c>
      <c r="BD558">
        <v>39</v>
      </c>
      <c r="BG558" t="s">
        <v>155</v>
      </c>
    </row>
    <row r="559" spans="1:61" x14ac:dyDescent="0.2">
      <c r="A559" t="s">
        <v>1333</v>
      </c>
      <c r="B559" t="s">
        <v>1334</v>
      </c>
      <c r="C559" t="s">
        <v>180</v>
      </c>
      <c r="D559" t="s">
        <v>135</v>
      </c>
      <c r="E559" s="1" t="s">
        <v>8</v>
      </c>
      <c r="F559" s="1" t="s">
        <v>141</v>
      </c>
      <c r="G559" s="32" t="s">
        <v>1337</v>
      </c>
      <c r="H559">
        <v>12000</v>
      </c>
      <c r="K559" t="s">
        <v>155</v>
      </c>
      <c r="N559">
        <v>57</v>
      </c>
      <c r="S559">
        <v>0.61</v>
      </c>
      <c r="U559" s="16">
        <f>(1200*1.29)</f>
        <v>1548</v>
      </c>
      <c r="W559">
        <v>21</v>
      </c>
      <c r="Z559">
        <v>13</v>
      </c>
      <c r="AC559">
        <v>29</v>
      </c>
      <c r="AF559">
        <v>36000</v>
      </c>
      <c r="AJ559" s="16">
        <f>(15*1.44)</f>
        <v>21.599999999999998</v>
      </c>
      <c r="AM559" s="16">
        <f>(1100*1.23)</f>
        <v>1353</v>
      </c>
      <c r="AP559" s="16">
        <f>(830*1.24)</f>
        <v>1029.2</v>
      </c>
      <c r="AR559" t="s">
        <v>155</v>
      </c>
      <c r="AU559" t="s">
        <v>155</v>
      </c>
      <c r="AZ559">
        <v>610</v>
      </c>
      <c r="BA559">
        <v>130</v>
      </c>
      <c r="BD559">
        <v>27</v>
      </c>
      <c r="BG559" t="s">
        <v>155</v>
      </c>
    </row>
    <row r="560" spans="1:61" x14ac:dyDescent="0.2">
      <c r="A560" s="10" t="s">
        <v>1338</v>
      </c>
      <c r="B560" s="10" t="s">
        <v>1339</v>
      </c>
      <c r="C560" s="10" t="s">
        <v>647</v>
      </c>
      <c r="D560" s="10" t="s">
        <v>275</v>
      </c>
      <c r="E560" s="11" t="s">
        <v>8</v>
      </c>
      <c r="F560" s="11" t="s">
        <v>140</v>
      </c>
      <c r="G560" s="33" t="s">
        <v>1340</v>
      </c>
      <c r="I560" s="16">
        <f>(6900*1.66)</f>
        <v>11454</v>
      </c>
      <c r="M560">
        <v>2</v>
      </c>
      <c r="N560">
        <v>93</v>
      </c>
      <c r="S560">
        <v>0.65</v>
      </c>
      <c r="T560">
        <v>3000</v>
      </c>
      <c r="W560">
        <v>54</v>
      </c>
      <c r="Z560">
        <v>3.4</v>
      </c>
      <c r="AE560">
        <v>20</v>
      </c>
      <c r="AF560">
        <v>10000</v>
      </c>
      <c r="AI560">
        <v>500</v>
      </c>
      <c r="AL560">
        <v>2100</v>
      </c>
      <c r="AO560">
        <v>250</v>
      </c>
      <c r="AR560">
        <v>7.9</v>
      </c>
      <c r="AU560">
        <v>1700</v>
      </c>
      <c r="AZ560">
        <v>100</v>
      </c>
      <c r="BA560">
        <v>16</v>
      </c>
      <c r="BD560">
        <v>83</v>
      </c>
      <c r="BI560">
        <v>0.11</v>
      </c>
    </row>
    <row r="561" spans="1:61" x14ac:dyDescent="0.2">
      <c r="A561" s="10" t="s">
        <v>1338</v>
      </c>
      <c r="B561" s="10" t="s">
        <v>1339</v>
      </c>
      <c r="C561" s="10" t="s">
        <v>647</v>
      </c>
      <c r="D561" s="10" t="s">
        <v>275</v>
      </c>
      <c r="E561" s="11" t="s">
        <v>8</v>
      </c>
      <c r="F561" s="11" t="s">
        <v>141</v>
      </c>
      <c r="G561" s="33" t="s">
        <v>1341</v>
      </c>
      <c r="I561" s="16">
        <f>(20000*1.66)</f>
        <v>33200</v>
      </c>
      <c r="M561">
        <v>2</v>
      </c>
      <c r="N561">
        <v>49</v>
      </c>
      <c r="S561">
        <v>0.75</v>
      </c>
      <c r="V561">
        <v>560</v>
      </c>
      <c r="W561">
        <v>29</v>
      </c>
      <c r="Z561">
        <v>3.1</v>
      </c>
      <c r="AE561">
        <v>20</v>
      </c>
      <c r="AF561">
        <v>32000</v>
      </c>
      <c r="AI561">
        <v>16</v>
      </c>
      <c r="AL561">
        <v>880</v>
      </c>
      <c r="AO561">
        <v>110</v>
      </c>
      <c r="AR561">
        <v>9.4</v>
      </c>
      <c r="AU561">
        <v>670</v>
      </c>
      <c r="AZ561">
        <v>100</v>
      </c>
      <c r="BA561">
        <v>47</v>
      </c>
      <c r="BD561">
        <v>24</v>
      </c>
      <c r="BI561">
        <v>0.11</v>
      </c>
    </row>
    <row r="562" spans="1:61" x14ac:dyDescent="0.2">
      <c r="A562" s="10" t="s">
        <v>1338</v>
      </c>
      <c r="B562" s="10" t="s">
        <v>1339</v>
      </c>
      <c r="C562" s="10" t="s">
        <v>647</v>
      </c>
      <c r="D562" s="10" t="s">
        <v>275</v>
      </c>
      <c r="E562" s="11" t="s">
        <v>8</v>
      </c>
      <c r="F562" s="11" t="s">
        <v>153</v>
      </c>
      <c r="G562" s="33" t="s">
        <v>1342</v>
      </c>
      <c r="I562" s="16">
        <f>(17000*1.66)</f>
        <v>28220</v>
      </c>
      <c r="K562">
        <v>11</v>
      </c>
      <c r="N562">
        <v>120</v>
      </c>
      <c r="S562">
        <v>1</v>
      </c>
      <c r="T562">
        <v>750</v>
      </c>
      <c r="W562">
        <v>40</v>
      </c>
      <c r="Z562">
        <v>12</v>
      </c>
      <c r="AE562">
        <v>30</v>
      </c>
      <c r="AF562">
        <v>35000</v>
      </c>
      <c r="AI562">
        <v>21</v>
      </c>
      <c r="AL562">
        <v>3300</v>
      </c>
      <c r="AO562">
        <v>690</v>
      </c>
      <c r="AR562">
        <v>16</v>
      </c>
      <c r="AU562">
        <v>2500</v>
      </c>
      <c r="AZ562">
        <v>170</v>
      </c>
      <c r="BA562">
        <v>29</v>
      </c>
      <c r="BD562">
        <v>94</v>
      </c>
      <c r="BI562">
        <v>0.12</v>
      </c>
    </row>
    <row r="563" spans="1:61" x14ac:dyDescent="0.2">
      <c r="A563" t="s">
        <v>1343</v>
      </c>
      <c r="B563" t="s">
        <v>1344</v>
      </c>
      <c r="C563" t="s">
        <v>1345</v>
      </c>
      <c r="D563" t="s">
        <v>478</v>
      </c>
      <c r="F563" s="1" t="s">
        <v>140</v>
      </c>
      <c r="G563" s="32" t="s">
        <v>1346</v>
      </c>
      <c r="J563">
        <v>100</v>
      </c>
      <c r="M563">
        <v>1</v>
      </c>
      <c r="P563">
        <v>5</v>
      </c>
      <c r="S563">
        <v>0.5</v>
      </c>
      <c r="V563">
        <v>250</v>
      </c>
      <c r="Y563">
        <v>5</v>
      </c>
      <c r="AB563">
        <v>5</v>
      </c>
      <c r="AE563">
        <v>10</v>
      </c>
      <c r="AH563">
        <v>100</v>
      </c>
      <c r="AK563">
        <v>1</v>
      </c>
      <c r="AN563">
        <v>250</v>
      </c>
      <c r="AQ563">
        <v>5</v>
      </c>
      <c r="AT563">
        <v>10</v>
      </c>
      <c r="AW563">
        <v>1000</v>
      </c>
      <c r="AZ563">
        <v>1000</v>
      </c>
      <c r="BC563">
        <v>5</v>
      </c>
      <c r="BF563">
        <v>10</v>
      </c>
      <c r="BG563" t="s">
        <v>155</v>
      </c>
    </row>
    <row r="564" spans="1:61" x14ac:dyDescent="0.2">
      <c r="A564" t="s">
        <v>1347</v>
      </c>
      <c r="B564" t="s">
        <v>1348</v>
      </c>
      <c r="C564" t="s">
        <v>151</v>
      </c>
      <c r="D564" t="s">
        <v>152</v>
      </c>
      <c r="E564" s="1" t="s">
        <v>8</v>
      </c>
      <c r="F564" s="1" t="s">
        <v>153</v>
      </c>
      <c r="G564" s="32" t="s">
        <v>1349</v>
      </c>
      <c r="H564" s="32" t="s">
        <v>155</v>
      </c>
      <c r="M564">
        <v>2</v>
      </c>
      <c r="N564" t="s">
        <v>155</v>
      </c>
      <c r="Q564" t="s">
        <v>155</v>
      </c>
      <c r="T564" t="s">
        <v>155</v>
      </c>
      <c r="W564">
        <v>15</v>
      </c>
      <c r="Z564" t="s">
        <v>155</v>
      </c>
      <c r="AD564" s="16">
        <f>(13*1.22)</f>
        <v>15.86</v>
      </c>
      <c r="AF564" t="s">
        <v>155</v>
      </c>
      <c r="AI564" t="s">
        <v>155</v>
      </c>
      <c r="AL564" t="s">
        <v>155</v>
      </c>
      <c r="AO564" t="s">
        <v>155</v>
      </c>
      <c r="AR564" t="s">
        <v>155</v>
      </c>
      <c r="AU564" t="s">
        <v>155</v>
      </c>
      <c r="AX564" t="s">
        <v>155</v>
      </c>
      <c r="BA564" t="s">
        <v>155</v>
      </c>
      <c r="BD564" t="s">
        <v>155</v>
      </c>
      <c r="BI564">
        <v>7.0000000000000007E-2</v>
      </c>
    </row>
    <row r="565" spans="1:61" x14ac:dyDescent="0.2">
      <c r="A565" t="s">
        <v>1347</v>
      </c>
      <c r="B565" t="s">
        <v>1348</v>
      </c>
      <c r="C565" t="s">
        <v>151</v>
      </c>
      <c r="D565" t="s">
        <v>152</v>
      </c>
      <c r="E565" s="1" t="s">
        <v>8</v>
      </c>
      <c r="F565" s="1" t="s">
        <v>140</v>
      </c>
      <c r="G565" s="32" t="s">
        <v>1350</v>
      </c>
      <c r="H565" s="32" t="s">
        <v>155</v>
      </c>
      <c r="K565" s="32" t="s">
        <v>155</v>
      </c>
      <c r="N565" t="s">
        <v>155</v>
      </c>
      <c r="Q565" t="s">
        <v>155</v>
      </c>
      <c r="T565" t="s">
        <v>155</v>
      </c>
      <c r="W565" t="s">
        <v>155</v>
      </c>
      <c r="Z565" t="s">
        <v>155</v>
      </c>
      <c r="AC565" t="s">
        <v>155</v>
      </c>
      <c r="AF565" t="s">
        <v>155</v>
      </c>
      <c r="AI565">
        <v>12.5</v>
      </c>
      <c r="AL565" t="s">
        <v>155</v>
      </c>
      <c r="AO565" t="s">
        <v>155</v>
      </c>
      <c r="AR565" t="s">
        <v>155</v>
      </c>
      <c r="AU565" t="s">
        <v>155</v>
      </c>
      <c r="AX565" t="s">
        <v>155</v>
      </c>
      <c r="BA565" t="s">
        <v>155</v>
      </c>
      <c r="BD565" t="s">
        <v>155</v>
      </c>
      <c r="BG565" t="s">
        <v>155</v>
      </c>
    </row>
    <row r="566" spans="1:61" ht="16" x14ac:dyDescent="0.2">
      <c r="A566" s="25" t="s">
        <v>1351</v>
      </c>
      <c r="B566" t="s">
        <v>1352</v>
      </c>
      <c r="C566" t="s">
        <v>180</v>
      </c>
      <c r="D566" t="s">
        <v>135</v>
      </c>
      <c r="E566" s="1" t="s">
        <v>8</v>
      </c>
      <c r="F566" s="1" t="s">
        <v>153</v>
      </c>
      <c r="G566" s="32" t="s">
        <v>1353</v>
      </c>
      <c r="H566" s="32" t="s">
        <v>155</v>
      </c>
      <c r="M566">
        <v>2</v>
      </c>
      <c r="N566">
        <v>31</v>
      </c>
      <c r="S566">
        <v>9.8000000000000007</v>
      </c>
      <c r="T566" t="s">
        <v>155</v>
      </c>
      <c r="Y566">
        <v>9.8000000000000007</v>
      </c>
      <c r="Z566" t="s">
        <v>155</v>
      </c>
      <c r="AC566">
        <v>12</v>
      </c>
      <c r="AF566">
        <v>5000</v>
      </c>
      <c r="AI566">
        <v>20</v>
      </c>
      <c r="AL566" t="s">
        <v>155</v>
      </c>
      <c r="AO566" t="s">
        <v>155</v>
      </c>
      <c r="AR566" t="s">
        <v>155</v>
      </c>
      <c r="AU566" t="s">
        <v>155</v>
      </c>
      <c r="AX566" t="s">
        <v>155</v>
      </c>
      <c r="BA566" t="s">
        <v>155</v>
      </c>
      <c r="BD566" t="s">
        <v>155</v>
      </c>
      <c r="BI566">
        <v>0.1</v>
      </c>
    </row>
    <row r="567" spans="1:61" ht="16" x14ac:dyDescent="0.2">
      <c r="A567" s="25" t="s">
        <v>1351</v>
      </c>
      <c r="B567" t="s">
        <v>1352</v>
      </c>
      <c r="C567" t="s">
        <v>180</v>
      </c>
      <c r="D567" t="s">
        <v>135</v>
      </c>
      <c r="E567" s="1" t="s">
        <v>8</v>
      </c>
      <c r="F567" s="1" t="s">
        <v>140</v>
      </c>
      <c r="G567" s="32" t="s">
        <v>1354</v>
      </c>
      <c r="H567" s="32" t="s">
        <v>155</v>
      </c>
      <c r="M567">
        <v>3.3</v>
      </c>
      <c r="N567">
        <v>120</v>
      </c>
      <c r="S567">
        <v>9.8000000000000007</v>
      </c>
      <c r="T567" t="s">
        <v>155</v>
      </c>
      <c r="W567">
        <v>39</v>
      </c>
      <c r="Z567" t="s">
        <v>155</v>
      </c>
      <c r="AC567">
        <v>110</v>
      </c>
      <c r="AF567">
        <v>18000</v>
      </c>
      <c r="AI567">
        <v>420</v>
      </c>
      <c r="AL567" t="s">
        <v>155</v>
      </c>
      <c r="AO567" t="s">
        <v>155</v>
      </c>
      <c r="AR567" t="s">
        <v>155</v>
      </c>
      <c r="AU567" t="s">
        <v>155</v>
      </c>
      <c r="AX567" t="s">
        <v>155</v>
      </c>
      <c r="BA567" t="s">
        <v>155</v>
      </c>
      <c r="BD567" t="s">
        <v>155</v>
      </c>
      <c r="BG567">
        <v>0.75</v>
      </c>
    </row>
    <row r="568" spans="1:61" ht="16" x14ac:dyDescent="0.2">
      <c r="A568" s="25" t="s">
        <v>1351</v>
      </c>
      <c r="B568" t="s">
        <v>1352</v>
      </c>
      <c r="C568" t="s">
        <v>180</v>
      </c>
      <c r="D568" t="s">
        <v>135</v>
      </c>
      <c r="E568" s="1" t="s">
        <v>8</v>
      </c>
      <c r="F568" s="1" t="s">
        <v>140</v>
      </c>
      <c r="G568" s="32" t="s">
        <v>1355</v>
      </c>
      <c r="H568" s="32" t="s">
        <v>155</v>
      </c>
      <c r="M568">
        <v>2.2999999999999998</v>
      </c>
      <c r="N568">
        <v>110</v>
      </c>
      <c r="S568">
        <v>9.8000000000000007</v>
      </c>
      <c r="T568" t="s">
        <v>155</v>
      </c>
      <c r="W568">
        <v>45</v>
      </c>
      <c r="Z568" t="s">
        <v>155</v>
      </c>
      <c r="AC568">
        <v>31</v>
      </c>
      <c r="AF568">
        <v>17000</v>
      </c>
      <c r="AI568">
        <v>120</v>
      </c>
      <c r="AL568" t="s">
        <v>155</v>
      </c>
      <c r="AO568" t="s">
        <v>155</v>
      </c>
      <c r="AR568" t="s">
        <v>155</v>
      </c>
      <c r="AU568" t="s">
        <v>155</v>
      </c>
      <c r="AX568" t="s">
        <v>155</v>
      </c>
      <c r="BA568" t="s">
        <v>155</v>
      </c>
      <c r="BD568" t="s">
        <v>155</v>
      </c>
      <c r="BI568">
        <v>0.1</v>
      </c>
    </row>
    <row r="569" spans="1:61" x14ac:dyDescent="0.2">
      <c r="A569" t="s">
        <v>1356</v>
      </c>
      <c r="B569" t="s">
        <v>1357</v>
      </c>
      <c r="C569" t="s">
        <v>1358</v>
      </c>
      <c r="D569" t="s">
        <v>453</v>
      </c>
      <c r="E569" s="1" t="s">
        <v>168</v>
      </c>
      <c r="F569" s="1" t="s">
        <v>153</v>
      </c>
      <c r="G569" s="32" t="s">
        <v>1359</v>
      </c>
      <c r="H569" s="32" t="s">
        <v>155</v>
      </c>
      <c r="M569">
        <v>0.98</v>
      </c>
      <c r="N569">
        <v>65</v>
      </c>
      <c r="S569">
        <v>7.8</v>
      </c>
      <c r="T569" t="s">
        <v>155</v>
      </c>
      <c r="Y569">
        <v>20</v>
      </c>
      <c r="Z569" t="s">
        <v>155</v>
      </c>
      <c r="AC569" t="s">
        <v>155</v>
      </c>
      <c r="AF569" t="s">
        <v>155</v>
      </c>
      <c r="AK569">
        <v>9.8000000000000007</v>
      </c>
      <c r="AL569" t="s">
        <v>155</v>
      </c>
      <c r="AO569" t="s">
        <v>155</v>
      </c>
      <c r="AR569" t="s">
        <v>155</v>
      </c>
      <c r="AU569" t="s">
        <v>155</v>
      </c>
      <c r="AX569" t="s">
        <v>155</v>
      </c>
      <c r="BA569" t="s">
        <v>155</v>
      </c>
      <c r="BD569" t="s">
        <v>155</v>
      </c>
      <c r="BI569">
        <v>0.1</v>
      </c>
    </row>
    <row r="570" spans="1:61" x14ac:dyDescent="0.2">
      <c r="A570" t="s">
        <v>1356</v>
      </c>
      <c r="B570" t="s">
        <v>1357</v>
      </c>
      <c r="C570" t="s">
        <v>1358</v>
      </c>
      <c r="D570" t="s">
        <v>453</v>
      </c>
      <c r="E570" s="1" t="s">
        <v>168</v>
      </c>
      <c r="F570" s="1" t="s">
        <v>140</v>
      </c>
      <c r="G570" s="32" t="s">
        <v>1360</v>
      </c>
      <c r="H570" s="32" t="s">
        <v>155</v>
      </c>
      <c r="K570">
        <v>7.8</v>
      </c>
      <c r="N570">
        <v>51</v>
      </c>
      <c r="S570">
        <v>7.8</v>
      </c>
      <c r="T570" t="s">
        <v>155</v>
      </c>
      <c r="Y570">
        <v>20</v>
      </c>
      <c r="Z570" t="s">
        <v>155</v>
      </c>
      <c r="AC570" t="s">
        <v>155</v>
      </c>
      <c r="AF570" t="s">
        <v>155</v>
      </c>
      <c r="AI570">
        <v>29</v>
      </c>
      <c r="AL570" t="s">
        <v>155</v>
      </c>
      <c r="AO570" t="s">
        <v>155</v>
      </c>
      <c r="AR570" t="s">
        <v>155</v>
      </c>
      <c r="AU570" t="s">
        <v>155</v>
      </c>
      <c r="AX570" t="s">
        <v>155</v>
      </c>
      <c r="BA570" t="s">
        <v>155</v>
      </c>
      <c r="BD570" t="s">
        <v>155</v>
      </c>
      <c r="BI570">
        <v>0.1</v>
      </c>
    </row>
    <row r="571" spans="1:61" x14ac:dyDescent="0.2">
      <c r="A571" t="s">
        <v>1361</v>
      </c>
      <c r="B571" t="s">
        <v>1362</v>
      </c>
      <c r="C571" t="s">
        <v>405</v>
      </c>
      <c r="D571" t="s">
        <v>406</v>
      </c>
      <c r="E571" s="1" t="s">
        <v>168</v>
      </c>
      <c r="F571" s="1" t="s">
        <v>141</v>
      </c>
      <c r="G571" s="32" t="s">
        <v>1363</v>
      </c>
      <c r="I571" s="16">
        <f>(1700*1.66)</f>
        <v>2822</v>
      </c>
      <c r="M571">
        <v>0.88</v>
      </c>
      <c r="N571">
        <v>16</v>
      </c>
      <c r="Q571">
        <v>1.5</v>
      </c>
      <c r="T571">
        <v>580</v>
      </c>
      <c r="W571" t="s">
        <v>155</v>
      </c>
      <c r="AB571">
        <v>6.2</v>
      </c>
      <c r="AE571">
        <v>4.0999999999999996</v>
      </c>
      <c r="AG571" s="16">
        <f>(660*1.34)</f>
        <v>884.40000000000009</v>
      </c>
      <c r="AJ571" s="16">
        <f>(24*1.44)</f>
        <v>34.56</v>
      </c>
      <c r="AN571">
        <v>240</v>
      </c>
      <c r="AP571" s="16">
        <f>(4.7*1.24)</f>
        <v>5.8280000000000003</v>
      </c>
      <c r="AT571">
        <v>8.8000000000000007</v>
      </c>
      <c r="AW571">
        <v>850</v>
      </c>
      <c r="AX571">
        <v>2900</v>
      </c>
      <c r="BC571">
        <v>6.2</v>
      </c>
      <c r="BF571">
        <v>5</v>
      </c>
      <c r="BI571">
        <v>0.14000000000000001</v>
      </c>
    </row>
    <row r="572" spans="1:61" x14ac:dyDescent="0.2">
      <c r="A572" t="s">
        <v>1361</v>
      </c>
      <c r="B572" t="s">
        <v>1362</v>
      </c>
      <c r="C572" t="s">
        <v>405</v>
      </c>
      <c r="D572" t="s">
        <v>406</v>
      </c>
      <c r="E572" s="1" t="s">
        <v>168</v>
      </c>
      <c r="F572" s="1" t="s">
        <v>140</v>
      </c>
      <c r="G572" s="32" t="s">
        <v>1364</v>
      </c>
      <c r="I572" s="16">
        <f>(5800*1.66)</f>
        <v>9628</v>
      </c>
      <c r="M572">
        <v>0.7</v>
      </c>
      <c r="N572">
        <v>31</v>
      </c>
      <c r="Q572">
        <v>1.2</v>
      </c>
      <c r="T572">
        <v>1400</v>
      </c>
      <c r="X572" s="16">
        <f>(4.2*1.29)</f>
        <v>5.4180000000000001</v>
      </c>
      <c r="AB572">
        <v>4.9000000000000004</v>
      </c>
      <c r="AE572">
        <v>3.3</v>
      </c>
      <c r="AG572" s="16">
        <f>(1500*1.34)</f>
        <v>2010.0000000000002</v>
      </c>
      <c r="AK572">
        <v>8</v>
      </c>
      <c r="AN572">
        <v>590</v>
      </c>
      <c r="AP572" s="16">
        <f>(8.4*1.24)</f>
        <v>10.416</v>
      </c>
      <c r="AT572">
        <v>7</v>
      </c>
      <c r="AW572">
        <v>680</v>
      </c>
      <c r="AX572">
        <v>2000</v>
      </c>
      <c r="BA572">
        <v>8.5</v>
      </c>
      <c r="BD572">
        <v>7.1</v>
      </c>
      <c r="BI572">
        <v>0.08</v>
      </c>
    </row>
    <row r="573" spans="1:61" x14ac:dyDescent="0.2">
      <c r="A573" t="s">
        <v>1361</v>
      </c>
      <c r="B573" t="s">
        <v>1362</v>
      </c>
      <c r="C573" t="s">
        <v>405</v>
      </c>
      <c r="D573" t="s">
        <v>406</v>
      </c>
      <c r="E573" s="1" t="s">
        <v>168</v>
      </c>
      <c r="F573" s="1" t="s">
        <v>153</v>
      </c>
      <c r="G573" s="32" t="s">
        <v>1365</v>
      </c>
      <c r="I573" s="16">
        <f>(290*1.66)</f>
        <v>481.4</v>
      </c>
      <c r="M573">
        <v>0.74</v>
      </c>
      <c r="P573">
        <v>6.1</v>
      </c>
      <c r="S573">
        <v>1.2</v>
      </c>
      <c r="V573">
        <v>480</v>
      </c>
      <c r="W573" t="s">
        <v>155</v>
      </c>
      <c r="AB573">
        <v>5.2</v>
      </c>
      <c r="AE573">
        <v>3.4</v>
      </c>
      <c r="AG573" s="16">
        <f>(370*1.34)</f>
        <v>495.8</v>
      </c>
      <c r="AK573">
        <v>3</v>
      </c>
      <c r="AN573">
        <v>620</v>
      </c>
      <c r="AP573" s="16">
        <f>(4.2*1.24)</f>
        <v>5.2080000000000002</v>
      </c>
      <c r="AT573">
        <v>7.4</v>
      </c>
      <c r="AW573">
        <v>720</v>
      </c>
      <c r="AX573">
        <v>400</v>
      </c>
      <c r="BC573">
        <v>5.2</v>
      </c>
      <c r="BD573">
        <v>6.3</v>
      </c>
      <c r="BI573">
        <v>0.11</v>
      </c>
    </row>
    <row r="574" spans="1:61" x14ac:dyDescent="0.2">
      <c r="A574" t="s">
        <v>1366</v>
      </c>
      <c r="B574" t="s">
        <v>1367</v>
      </c>
      <c r="C574" t="s">
        <v>342</v>
      </c>
      <c r="D574" t="s">
        <v>343</v>
      </c>
      <c r="E574" s="1" t="s">
        <v>168</v>
      </c>
      <c r="F574" s="1" t="s">
        <v>140</v>
      </c>
      <c r="G574" s="32" t="s">
        <v>1368</v>
      </c>
      <c r="H574" t="s">
        <v>155</v>
      </c>
      <c r="K574">
        <v>8</v>
      </c>
      <c r="N574">
        <v>64</v>
      </c>
      <c r="S574">
        <v>8</v>
      </c>
      <c r="T574" t="s">
        <v>155</v>
      </c>
      <c r="W574">
        <v>20</v>
      </c>
      <c r="Z574" t="s">
        <v>155</v>
      </c>
      <c r="AC574">
        <v>24</v>
      </c>
      <c r="AF574" t="s">
        <v>155</v>
      </c>
      <c r="AI574">
        <v>124</v>
      </c>
      <c r="AL574" t="s">
        <v>155</v>
      </c>
      <c r="AO574" t="s">
        <v>155</v>
      </c>
      <c r="AT574">
        <v>20</v>
      </c>
      <c r="AU574" t="s">
        <v>155</v>
      </c>
      <c r="AX574" t="s">
        <v>155</v>
      </c>
      <c r="BA574">
        <v>20</v>
      </c>
      <c r="BD574">
        <v>411</v>
      </c>
      <c r="BI574">
        <v>0.4</v>
      </c>
    </row>
    <row r="575" spans="1:61" x14ac:dyDescent="0.2">
      <c r="A575" t="s">
        <v>1366</v>
      </c>
      <c r="B575" t="s">
        <v>1367</v>
      </c>
      <c r="C575" t="s">
        <v>342</v>
      </c>
      <c r="D575" t="s">
        <v>343</v>
      </c>
      <c r="E575" s="1" t="s">
        <v>168</v>
      </c>
      <c r="F575" s="1" t="s">
        <v>140</v>
      </c>
      <c r="G575" s="32" t="s">
        <v>1369</v>
      </c>
      <c r="H575" t="s">
        <v>155</v>
      </c>
      <c r="M575">
        <v>4</v>
      </c>
      <c r="N575">
        <v>10</v>
      </c>
      <c r="S575">
        <v>4</v>
      </c>
      <c r="T575" t="s">
        <v>155</v>
      </c>
      <c r="W575">
        <v>4</v>
      </c>
      <c r="Z575" t="s">
        <v>155</v>
      </c>
      <c r="AE575">
        <v>10</v>
      </c>
      <c r="AF575" t="s">
        <v>155</v>
      </c>
      <c r="AI575">
        <v>36</v>
      </c>
      <c r="AL575" t="s">
        <v>155</v>
      </c>
      <c r="AO575" t="s">
        <v>155</v>
      </c>
      <c r="AT575">
        <v>10</v>
      </c>
      <c r="AU575" t="s">
        <v>155</v>
      </c>
      <c r="AX575" t="s">
        <v>155</v>
      </c>
      <c r="BC575">
        <v>6</v>
      </c>
      <c r="BD575">
        <v>28</v>
      </c>
      <c r="BI575">
        <v>0.2</v>
      </c>
    </row>
    <row r="576" spans="1:61" x14ac:dyDescent="0.2">
      <c r="A576" t="s">
        <v>1366</v>
      </c>
      <c r="B576" t="s">
        <v>1367</v>
      </c>
      <c r="C576" t="s">
        <v>342</v>
      </c>
      <c r="D576" t="s">
        <v>343</v>
      </c>
      <c r="E576" s="1" t="s">
        <v>168</v>
      </c>
      <c r="F576" s="1" t="s">
        <v>153</v>
      </c>
      <c r="G576" s="32" t="s">
        <v>1370</v>
      </c>
      <c r="H576" t="s">
        <v>155</v>
      </c>
      <c r="M576">
        <v>4</v>
      </c>
      <c r="N576">
        <v>53</v>
      </c>
      <c r="S576">
        <v>4</v>
      </c>
      <c r="T576" t="s">
        <v>155</v>
      </c>
      <c r="W576">
        <v>16</v>
      </c>
      <c r="Z576" t="s">
        <v>155</v>
      </c>
      <c r="AC576">
        <v>16</v>
      </c>
      <c r="AF576" t="s">
        <v>155</v>
      </c>
      <c r="AI576">
        <v>8</v>
      </c>
      <c r="AL576" t="s">
        <v>155</v>
      </c>
      <c r="AO576" t="s">
        <v>155</v>
      </c>
      <c r="AR576">
        <v>10</v>
      </c>
      <c r="AU576" t="s">
        <v>155</v>
      </c>
      <c r="AX576" t="s">
        <v>155</v>
      </c>
      <c r="BA576">
        <v>34</v>
      </c>
      <c r="BD576">
        <v>30</v>
      </c>
      <c r="BI576">
        <v>0.2</v>
      </c>
    </row>
    <row r="577" spans="1:61" x14ac:dyDescent="0.2">
      <c r="A577" t="s">
        <v>1371</v>
      </c>
      <c r="B577" t="s">
        <v>1372</v>
      </c>
      <c r="C577" t="s">
        <v>420</v>
      </c>
      <c r="D577" t="s">
        <v>132</v>
      </c>
      <c r="F577" s="1" t="s">
        <v>140</v>
      </c>
      <c r="G577" s="32" t="s">
        <v>1217</v>
      </c>
      <c r="H577">
        <v>15000</v>
      </c>
      <c r="M577">
        <v>4.3</v>
      </c>
      <c r="N577">
        <v>79</v>
      </c>
      <c r="Q577" t="s">
        <v>155</v>
      </c>
      <c r="T577">
        <v>780</v>
      </c>
      <c r="W577">
        <v>43</v>
      </c>
      <c r="Z577">
        <v>4.3</v>
      </c>
      <c r="AC577">
        <v>17</v>
      </c>
      <c r="AF577">
        <v>27000</v>
      </c>
      <c r="AI577">
        <v>48</v>
      </c>
      <c r="AL577">
        <v>880</v>
      </c>
      <c r="AO577">
        <v>440</v>
      </c>
      <c r="AR577">
        <v>7.4</v>
      </c>
      <c r="AU577" t="s">
        <v>155</v>
      </c>
      <c r="AX577" t="s">
        <v>155</v>
      </c>
      <c r="BB577" s="16">
        <f>(59*1.34)</f>
        <v>79.06</v>
      </c>
      <c r="BD577">
        <v>43</v>
      </c>
      <c r="BG577" t="s">
        <v>155</v>
      </c>
    </row>
    <row r="578" spans="1:61" x14ac:dyDescent="0.2">
      <c r="A578" t="s">
        <v>1371</v>
      </c>
      <c r="B578" t="s">
        <v>1372</v>
      </c>
      <c r="C578" t="s">
        <v>420</v>
      </c>
      <c r="D578" t="s">
        <v>132</v>
      </c>
      <c r="F578" s="1" t="s">
        <v>141</v>
      </c>
      <c r="G578" s="32" t="s">
        <v>1218</v>
      </c>
      <c r="H578">
        <v>27000</v>
      </c>
      <c r="M578">
        <v>1</v>
      </c>
      <c r="N578">
        <v>53</v>
      </c>
      <c r="Q578">
        <v>1.7</v>
      </c>
      <c r="T578">
        <v>37</v>
      </c>
      <c r="W578">
        <v>49</v>
      </c>
      <c r="Z578">
        <v>4.5</v>
      </c>
      <c r="AC578">
        <v>46</v>
      </c>
      <c r="AF578">
        <v>91000</v>
      </c>
      <c r="AI578">
        <v>35</v>
      </c>
      <c r="AL578">
        <v>1400</v>
      </c>
      <c r="AO578">
        <v>540</v>
      </c>
      <c r="AR578">
        <v>16</v>
      </c>
      <c r="AW578">
        <v>1500</v>
      </c>
      <c r="AX578" t="s">
        <v>155</v>
      </c>
      <c r="BB578" s="16">
        <f>(200*1.34)</f>
        <v>268</v>
      </c>
      <c r="BD578">
        <v>37</v>
      </c>
      <c r="BG578" t="s">
        <v>155</v>
      </c>
    </row>
    <row r="579" spans="1:61" ht="16" x14ac:dyDescent="0.2">
      <c r="A579" s="25" t="s">
        <v>1373</v>
      </c>
      <c r="B579" t="s">
        <v>1374</v>
      </c>
      <c r="C579" t="s">
        <v>733</v>
      </c>
      <c r="D579" t="s">
        <v>230</v>
      </c>
      <c r="E579" s="1" t="s">
        <v>8</v>
      </c>
      <c r="F579" s="1" t="s">
        <v>140</v>
      </c>
      <c r="G579" s="32" t="s">
        <v>1375</v>
      </c>
      <c r="H579">
        <v>3860</v>
      </c>
      <c r="K579" t="s">
        <v>155</v>
      </c>
      <c r="N579" t="s">
        <v>155</v>
      </c>
      <c r="S579">
        <v>0.17</v>
      </c>
      <c r="T579">
        <v>1350</v>
      </c>
      <c r="W579">
        <v>3.4</v>
      </c>
      <c r="Z579" t="s">
        <v>155</v>
      </c>
      <c r="AC579" t="s">
        <v>155</v>
      </c>
      <c r="AF579">
        <v>1440</v>
      </c>
      <c r="AI579">
        <v>16.100000000000001</v>
      </c>
      <c r="AL579" t="s">
        <v>155</v>
      </c>
      <c r="AO579">
        <v>15.3</v>
      </c>
      <c r="AR579" t="s">
        <v>155</v>
      </c>
      <c r="AW579">
        <v>119</v>
      </c>
      <c r="AZ579">
        <v>48.4</v>
      </c>
      <c r="BA579" t="s">
        <v>155</v>
      </c>
      <c r="BD579">
        <v>17</v>
      </c>
      <c r="BG579" t="s">
        <v>155</v>
      </c>
    </row>
    <row r="580" spans="1:61" ht="16" x14ac:dyDescent="0.2">
      <c r="A580" s="25" t="s">
        <v>1373</v>
      </c>
      <c r="B580" t="s">
        <v>1374</v>
      </c>
      <c r="C580" t="s">
        <v>733</v>
      </c>
      <c r="D580" t="s">
        <v>230</v>
      </c>
      <c r="E580" s="1" t="s">
        <v>8</v>
      </c>
      <c r="F580" s="1" t="s">
        <v>140</v>
      </c>
      <c r="G580" s="32" t="s">
        <v>1376</v>
      </c>
      <c r="H580">
        <v>1810</v>
      </c>
      <c r="M580">
        <v>0.35</v>
      </c>
      <c r="N580" t="s">
        <v>155</v>
      </c>
      <c r="S580">
        <v>0.17</v>
      </c>
      <c r="T580" t="s">
        <v>155</v>
      </c>
      <c r="W580">
        <v>2.4</v>
      </c>
      <c r="Z580" t="s">
        <v>155</v>
      </c>
      <c r="AE580">
        <v>1.6</v>
      </c>
      <c r="AF580">
        <v>1070</v>
      </c>
      <c r="AI580">
        <v>7.5</v>
      </c>
      <c r="AL580" t="s">
        <v>155</v>
      </c>
      <c r="AO580">
        <v>16.5</v>
      </c>
      <c r="AR580" t="s">
        <v>155</v>
      </c>
      <c r="AU580" t="s">
        <v>155</v>
      </c>
      <c r="AZ580">
        <v>47.9</v>
      </c>
      <c r="BA580" t="s">
        <v>155</v>
      </c>
      <c r="BF580">
        <v>4.5</v>
      </c>
      <c r="BG580" t="s">
        <v>155</v>
      </c>
    </row>
    <row r="581" spans="1:61" ht="16" x14ac:dyDescent="0.2">
      <c r="A581" s="25" t="s">
        <v>1373</v>
      </c>
      <c r="B581" t="s">
        <v>1374</v>
      </c>
      <c r="C581" t="s">
        <v>733</v>
      </c>
      <c r="D581" t="s">
        <v>230</v>
      </c>
      <c r="E581" s="1" t="s">
        <v>8</v>
      </c>
      <c r="F581" s="1" t="s">
        <v>141</v>
      </c>
      <c r="G581" s="32" t="s">
        <v>1377</v>
      </c>
      <c r="H581">
        <v>3360</v>
      </c>
      <c r="M581">
        <v>0.44</v>
      </c>
      <c r="N581" t="s">
        <v>155</v>
      </c>
      <c r="Q581" t="s">
        <v>155</v>
      </c>
      <c r="V581">
        <v>129</v>
      </c>
      <c r="W581">
        <v>3.2</v>
      </c>
      <c r="AB581">
        <v>0.22</v>
      </c>
      <c r="AE581">
        <v>1.2</v>
      </c>
      <c r="AF581">
        <v>589</v>
      </c>
      <c r="AI581">
        <v>3.6</v>
      </c>
      <c r="AL581" t="s">
        <v>155</v>
      </c>
      <c r="AO581" t="s">
        <v>155</v>
      </c>
      <c r="AR581" t="s">
        <v>155</v>
      </c>
      <c r="AU581" t="s">
        <v>155</v>
      </c>
      <c r="AX581" t="s">
        <v>155</v>
      </c>
      <c r="BA581" t="s">
        <v>155</v>
      </c>
      <c r="BF581">
        <v>2.2000000000000002</v>
      </c>
      <c r="BG581" t="s">
        <v>155</v>
      </c>
    </row>
    <row r="582" spans="1:61" ht="16" x14ac:dyDescent="0.2">
      <c r="A582" s="25" t="s">
        <v>1373</v>
      </c>
      <c r="B582" t="s">
        <v>1374</v>
      </c>
      <c r="C582" t="s">
        <v>733</v>
      </c>
      <c r="D582" t="s">
        <v>230</v>
      </c>
      <c r="E582" s="1" t="s">
        <v>8</v>
      </c>
      <c r="F582" s="1" t="s">
        <v>141</v>
      </c>
      <c r="G582" s="32" t="s">
        <v>1378</v>
      </c>
      <c r="H582">
        <v>1640</v>
      </c>
      <c r="M582">
        <v>0.42</v>
      </c>
      <c r="N582" t="s">
        <v>155</v>
      </c>
      <c r="Q582" t="s">
        <v>155</v>
      </c>
      <c r="T582" t="s">
        <v>155</v>
      </c>
      <c r="W582" t="s">
        <v>155</v>
      </c>
      <c r="Z582" t="s">
        <v>155</v>
      </c>
      <c r="AE582">
        <v>0.7</v>
      </c>
      <c r="AF582">
        <v>1050</v>
      </c>
      <c r="AI582">
        <v>2.2000000000000002</v>
      </c>
      <c r="AL582" t="s">
        <v>155</v>
      </c>
      <c r="AO582">
        <v>8.5</v>
      </c>
      <c r="AR582" t="s">
        <v>155</v>
      </c>
      <c r="AU582" t="s">
        <v>155</v>
      </c>
      <c r="AX582" t="s">
        <v>155</v>
      </c>
      <c r="BA582" t="s">
        <v>155</v>
      </c>
      <c r="BF582">
        <v>3</v>
      </c>
      <c r="BG582" t="s">
        <v>155</v>
      </c>
    </row>
    <row r="583" spans="1:61" ht="16" x14ac:dyDescent="0.2">
      <c r="A583" s="25" t="s">
        <v>1373</v>
      </c>
      <c r="B583" t="s">
        <v>1374</v>
      </c>
      <c r="C583" t="s">
        <v>733</v>
      </c>
      <c r="D583" t="s">
        <v>230</v>
      </c>
      <c r="E583" s="1" t="s">
        <v>8</v>
      </c>
      <c r="F583" s="1" t="s">
        <v>153</v>
      </c>
      <c r="G583" s="32" t="s">
        <v>1379</v>
      </c>
      <c r="H583">
        <v>11600</v>
      </c>
      <c r="K583" t="s">
        <v>155</v>
      </c>
      <c r="N583">
        <v>115</v>
      </c>
      <c r="Q583" t="s">
        <v>155</v>
      </c>
      <c r="T583">
        <v>4510</v>
      </c>
      <c r="W583">
        <v>9.3000000000000007</v>
      </c>
      <c r="Z583" t="s">
        <v>155</v>
      </c>
      <c r="AC583" t="s">
        <v>155</v>
      </c>
      <c r="AF583">
        <v>5400</v>
      </c>
      <c r="AI583">
        <v>23.2</v>
      </c>
      <c r="AL583" t="s">
        <v>155</v>
      </c>
      <c r="AO583">
        <v>140</v>
      </c>
      <c r="AR583" t="s">
        <v>155</v>
      </c>
      <c r="AU583" t="s">
        <v>155</v>
      </c>
      <c r="AZ583">
        <v>102</v>
      </c>
      <c r="BA583" t="s">
        <v>155</v>
      </c>
      <c r="BD583">
        <v>24.3</v>
      </c>
      <c r="BG583" t="s">
        <v>155</v>
      </c>
    </row>
    <row r="584" spans="1:61" x14ac:dyDescent="0.2">
      <c r="A584" t="s">
        <v>1380</v>
      </c>
      <c r="B584" t="s">
        <v>1381</v>
      </c>
      <c r="C584" t="s">
        <v>180</v>
      </c>
      <c r="D584" t="s">
        <v>135</v>
      </c>
      <c r="E584" s="1" t="s">
        <v>8</v>
      </c>
      <c r="F584" s="1" t="s">
        <v>140</v>
      </c>
      <c r="G584" s="32" t="s">
        <v>693</v>
      </c>
      <c r="H584" t="s">
        <v>155</v>
      </c>
      <c r="K584">
        <v>0.67</v>
      </c>
      <c r="N584" t="s">
        <v>155</v>
      </c>
      <c r="Q584" t="s">
        <v>155</v>
      </c>
      <c r="T584" t="s">
        <v>155</v>
      </c>
      <c r="W584" t="s">
        <v>155</v>
      </c>
      <c r="Z584" t="s">
        <v>155</v>
      </c>
      <c r="AC584" t="s">
        <v>155</v>
      </c>
      <c r="AF584" t="s">
        <v>155</v>
      </c>
      <c r="AI584" t="s">
        <v>155</v>
      </c>
      <c r="AL584" t="s">
        <v>155</v>
      </c>
      <c r="AO584" t="s">
        <v>155</v>
      </c>
      <c r="AR584" t="s">
        <v>155</v>
      </c>
      <c r="AU584" t="s">
        <v>155</v>
      </c>
      <c r="AX584" t="s">
        <v>155</v>
      </c>
      <c r="BA584" t="s">
        <v>155</v>
      </c>
      <c r="BD584" t="s">
        <v>155</v>
      </c>
      <c r="BG584" t="s">
        <v>155</v>
      </c>
    </row>
    <row r="585" spans="1:61" x14ac:dyDescent="0.2">
      <c r="A585" t="s">
        <v>1380</v>
      </c>
      <c r="B585" t="s">
        <v>1381</v>
      </c>
      <c r="C585" t="s">
        <v>180</v>
      </c>
      <c r="D585" t="s">
        <v>135</v>
      </c>
      <c r="E585" s="1" t="s">
        <v>8</v>
      </c>
      <c r="F585" s="1" t="s">
        <v>141</v>
      </c>
      <c r="G585" s="32" t="s">
        <v>694</v>
      </c>
      <c r="H585" t="s">
        <v>155</v>
      </c>
      <c r="K585">
        <v>1.3</v>
      </c>
      <c r="N585" t="s">
        <v>155</v>
      </c>
      <c r="Q585" t="s">
        <v>155</v>
      </c>
      <c r="T585" t="s">
        <v>155</v>
      </c>
      <c r="W585" t="s">
        <v>155</v>
      </c>
      <c r="Z585" t="s">
        <v>155</v>
      </c>
      <c r="AC585" t="s">
        <v>155</v>
      </c>
      <c r="AF585" t="s">
        <v>155</v>
      </c>
      <c r="AI585" t="s">
        <v>155</v>
      </c>
      <c r="AL585" t="s">
        <v>155</v>
      </c>
      <c r="AO585" t="s">
        <v>155</v>
      </c>
      <c r="AR585" t="s">
        <v>155</v>
      </c>
      <c r="AU585" t="s">
        <v>155</v>
      </c>
      <c r="AX585" t="s">
        <v>155</v>
      </c>
      <c r="BA585" t="s">
        <v>155</v>
      </c>
      <c r="BD585" t="s">
        <v>155</v>
      </c>
      <c r="BG585" t="s">
        <v>155</v>
      </c>
    </row>
    <row r="586" spans="1:61" x14ac:dyDescent="0.2">
      <c r="A586" t="s">
        <v>1380</v>
      </c>
      <c r="B586" t="s">
        <v>1381</v>
      </c>
      <c r="C586" t="s">
        <v>180</v>
      </c>
      <c r="D586" t="s">
        <v>135</v>
      </c>
      <c r="E586" s="1" t="s">
        <v>8</v>
      </c>
      <c r="F586" s="1" t="s">
        <v>141</v>
      </c>
      <c r="G586" s="32" t="s">
        <v>751</v>
      </c>
      <c r="H586" t="s">
        <v>155</v>
      </c>
      <c r="K586">
        <v>1.1000000000000001</v>
      </c>
      <c r="N586" t="s">
        <v>155</v>
      </c>
      <c r="Q586" t="s">
        <v>155</v>
      </c>
      <c r="T586" t="s">
        <v>155</v>
      </c>
      <c r="W586" t="s">
        <v>155</v>
      </c>
      <c r="Z586" t="s">
        <v>155</v>
      </c>
      <c r="AC586" t="s">
        <v>155</v>
      </c>
      <c r="AF586" t="s">
        <v>155</v>
      </c>
      <c r="AI586" t="s">
        <v>155</v>
      </c>
      <c r="AL586" t="s">
        <v>155</v>
      </c>
      <c r="AO586" t="s">
        <v>155</v>
      </c>
      <c r="AR586" t="s">
        <v>155</v>
      </c>
      <c r="AU586" t="s">
        <v>155</v>
      </c>
      <c r="AX586" t="s">
        <v>155</v>
      </c>
      <c r="BA586" t="s">
        <v>155</v>
      </c>
      <c r="BD586" t="s">
        <v>155</v>
      </c>
      <c r="BG586" t="s">
        <v>155</v>
      </c>
    </row>
    <row r="587" spans="1:61" x14ac:dyDescent="0.2">
      <c r="A587" t="s">
        <v>1380</v>
      </c>
      <c r="B587" t="s">
        <v>1381</v>
      </c>
      <c r="C587" t="s">
        <v>180</v>
      </c>
      <c r="D587" t="s">
        <v>135</v>
      </c>
      <c r="E587" s="1" t="s">
        <v>8</v>
      </c>
      <c r="F587" s="1" t="s">
        <v>140</v>
      </c>
      <c r="G587" s="32" t="s">
        <v>765</v>
      </c>
      <c r="H587" t="s">
        <v>155</v>
      </c>
      <c r="K587">
        <v>9.4</v>
      </c>
      <c r="N587" t="s">
        <v>155</v>
      </c>
      <c r="Q587" t="s">
        <v>155</v>
      </c>
      <c r="T587" t="s">
        <v>155</v>
      </c>
      <c r="W587" t="s">
        <v>155</v>
      </c>
      <c r="Z587" t="s">
        <v>155</v>
      </c>
      <c r="AC587" t="s">
        <v>155</v>
      </c>
      <c r="AF587" t="s">
        <v>155</v>
      </c>
      <c r="AI587" t="s">
        <v>155</v>
      </c>
      <c r="AL587" t="s">
        <v>155</v>
      </c>
      <c r="AO587" t="s">
        <v>155</v>
      </c>
      <c r="AR587" t="s">
        <v>155</v>
      </c>
      <c r="AU587" t="s">
        <v>155</v>
      </c>
      <c r="AX587" t="s">
        <v>155</v>
      </c>
      <c r="BA587" t="s">
        <v>155</v>
      </c>
      <c r="BD587" t="s">
        <v>155</v>
      </c>
      <c r="BG587" t="s">
        <v>155</v>
      </c>
    </row>
    <row r="588" spans="1:61" x14ac:dyDescent="0.2">
      <c r="A588" t="s">
        <v>1380</v>
      </c>
      <c r="B588" t="s">
        <v>1381</v>
      </c>
      <c r="C588" t="s">
        <v>180</v>
      </c>
      <c r="D588" t="s">
        <v>135</v>
      </c>
      <c r="E588" s="1" t="s">
        <v>8</v>
      </c>
      <c r="F588" s="1" t="s">
        <v>140</v>
      </c>
      <c r="G588" s="32" t="s">
        <v>766</v>
      </c>
      <c r="H588" t="s">
        <v>155</v>
      </c>
      <c r="K588">
        <v>3.5</v>
      </c>
      <c r="N588" t="s">
        <v>155</v>
      </c>
      <c r="Q588" t="s">
        <v>155</v>
      </c>
      <c r="T588" t="s">
        <v>155</v>
      </c>
      <c r="W588" t="s">
        <v>155</v>
      </c>
      <c r="Z588" t="s">
        <v>155</v>
      </c>
      <c r="AC588" t="s">
        <v>155</v>
      </c>
      <c r="AF588" t="s">
        <v>155</v>
      </c>
      <c r="AI588" t="s">
        <v>155</v>
      </c>
      <c r="AL588" t="s">
        <v>155</v>
      </c>
      <c r="AO588" t="s">
        <v>155</v>
      </c>
      <c r="AR588" t="s">
        <v>155</v>
      </c>
      <c r="AU588" t="s">
        <v>155</v>
      </c>
      <c r="AX588" t="s">
        <v>155</v>
      </c>
      <c r="BA588" t="s">
        <v>155</v>
      </c>
      <c r="BD588" t="s">
        <v>155</v>
      </c>
      <c r="BG588" t="s">
        <v>155</v>
      </c>
    </row>
    <row r="589" spans="1:61" x14ac:dyDescent="0.2">
      <c r="A589" s="10" t="s">
        <v>1382</v>
      </c>
      <c r="B589" s="10" t="s">
        <v>1383</v>
      </c>
      <c r="C589" s="10" t="s">
        <v>1073</v>
      </c>
      <c r="D589" s="10" t="s">
        <v>372</v>
      </c>
      <c r="E589" s="11" t="s">
        <v>8</v>
      </c>
      <c r="F589" s="11" t="s">
        <v>140</v>
      </c>
      <c r="G589" s="33" t="s">
        <v>605</v>
      </c>
      <c r="I589" s="16">
        <f>(20000*1.66)</f>
        <v>33200</v>
      </c>
      <c r="M589">
        <v>2</v>
      </c>
      <c r="P589">
        <v>80</v>
      </c>
      <c r="S589">
        <v>0.35</v>
      </c>
      <c r="T589">
        <v>310</v>
      </c>
      <c r="W589">
        <v>43</v>
      </c>
      <c r="Z589">
        <v>11</v>
      </c>
      <c r="AE589">
        <v>30</v>
      </c>
      <c r="AG589" s="16">
        <f>(22000*1.34)</f>
        <v>29480</v>
      </c>
      <c r="AJ589" s="16">
        <f>(35*1.44)</f>
        <v>50.4</v>
      </c>
      <c r="AL589">
        <v>2600</v>
      </c>
      <c r="AP589" s="16">
        <f>(370*1.24)</f>
        <v>458.8</v>
      </c>
      <c r="AT589">
        <v>10</v>
      </c>
      <c r="AU589">
        <v>1300</v>
      </c>
      <c r="AX589">
        <v>30</v>
      </c>
      <c r="BB589" s="16">
        <f>(50*1.34)</f>
        <v>67</v>
      </c>
      <c r="BE589" s="16">
        <f>(46*1.5)</f>
        <v>69</v>
      </c>
      <c r="BI589">
        <v>0.17</v>
      </c>
    </row>
    <row r="590" spans="1:61" x14ac:dyDescent="0.2">
      <c r="A590" s="10" t="s">
        <v>1382</v>
      </c>
      <c r="B590" s="10" t="s">
        <v>1383</v>
      </c>
      <c r="C590" s="10" t="s">
        <v>1073</v>
      </c>
      <c r="D590" s="10" t="s">
        <v>372</v>
      </c>
      <c r="E590" s="11" t="s">
        <v>8</v>
      </c>
      <c r="F590" s="11" t="s">
        <v>141</v>
      </c>
      <c r="G590" s="33" t="s">
        <v>606</v>
      </c>
      <c r="I590" s="16">
        <f>(4500*1.66)</f>
        <v>7470</v>
      </c>
      <c r="M590">
        <v>2</v>
      </c>
      <c r="P590">
        <v>20</v>
      </c>
      <c r="S590">
        <v>0.21</v>
      </c>
      <c r="V590">
        <v>40</v>
      </c>
      <c r="W590">
        <v>8.6</v>
      </c>
      <c r="AB590">
        <v>7</v>
      </c>
      <c r="AE590">
        <v>7</v>
      </c>
      <c r="AG590" s="16">
        <f>(4900*1.34)</f>
        <v>6566</v>
      </c>
      <c r="AJ590" s="16">
        <f>(3.9*1.44)</f>
        <v>5.6159999999999997</v>
      </c>
      <c r="AL590">
        <v>780</v>
      </c>
      <c r="AP590" s="16">
        <f>(31*1.24)</f>
        <v>38.44</v>
      </c>
      <c r="AT590">
        <v>3</v>
      </c>
      <c r="AU590">
        <v>510</v>
      </c>
      <c r="AZ590">
        <v>10</v>
      </c>
      <c r="BB590" s="16">
        <f>(14*1.34)</f>
        <v>18.760000000000002</v>
      </c>
      <c r="BF590">
        <v>9</v>
      </c>
      <c r="BI590">
        <v>0.12</v>
      </c>
    </row>
    <row r="591" spans="1:61" x14ac:dyDescent="0.2">
      <c r="A591" s="10" t="s">
        <v>1382</v>
      </c>
      <c r="B591" s="10" t="s">
        <v>1383</v>
      </c>
      <c r="C591" s="10" t="s">
        <v>1073</v>
      </c>
      <c r="D591" s="10" t="s">
        <v>372</v>
      </c>
      <c r="E591" s="11" t="s">
        <v>8</v>
      </c>
      <c r="F591" s="11" t="s">
        <v>153</v>
      </c>
      <c r="G591" s="33" t="s">
        <v>607</v>
      </c>
      <c r="I591" s="16">
        <f>(1900*1.66)</f>
        <v>3154</v>
      </c>
      <c r="M591">
        <v>1</v>
      </c>
      <c r="P591">
        <v>9</v>
      </c>
      <c r="S591">
        <v>0.23</v>
      </c>
      <c r="V591">
        <v>40</v>
      </c>
      <c r="W591">
        <v>21</v>
      </c>
      <c r="Z591">
        <v>1.6</v>
      </c>
      <c r="AE591">
        <v>20</v>
      </c>
      <c r="AG591" s="16">
        <f>(4700*1.34)</f>
        <v>6298</v>
      </c>
      <c r="AJ591" s="16">
        <f>(2.5*1.44)</f>
        <v>3.5999999999999996</v>
      </c>
      <c r="AL591">
        <v>300</v>
      </c>
      <c r="AP591" s="16">
        <f>(40*1.24)</f>
        <v>49.6</v>
      </c>
      <c r="AT591">
        <v>1.1000000000000001</v>
      </c>
      <c r="AU591">
        <v>330</v>
      </c>
      <c r="AZ591">
        <v>20</v>
      </c>
      <c r="BB591" s="16">
        <f>(12*1.34)</f>
        <v>16.080000000000002</v>
      </c>
      <c r="BF591">
        <v>8</v>
      </c>
      <c r="BI591">
        <v>0.12</v>
      </c>
    </row>
    <row r="592" spans="1:61" x14ac:dyDescent="0.2">
      <c r="A592" t="s">
        <v>1382</v>
      </c>
      <c r="B592" t="s">
        <v>1383</v>
      </c>
      <c r="C592" t="s">
        <v>1073</v>
      </c>
      <c r="D592" t="s">
        <v>372</v>
      </c>
      <c r="E592" s="1" t="s">
        <v>8</v>
      </c>
      <c r="F592" s="1" t="s">
        <v>141</v>
      </c>
      <c r="G592" s="32" t="s">
        <v>1384</v>
      </c>
      <c r="I592" s="16">
        <f>(13000*1.66)</f>
        <v>21580</v>
      </c>
      <c r="K592" t="s">
        <v>155</v>
      </c>
      <c r="N592">
        <v>40</v>
      </c>
      <c r="S592">
        <v>62</v>
      </c>
      <c r="T592">
        <v>75</v>
      </c>
      <c r="W592">
        <v>17</v>
      </c>
      <c r="Z592">
        <v>4.4000000000000004</v>
      </c>
      <c r="AE592">
        <v>20</v>
      </c>
      <c r="AF592">
        <v>8100</v>
      </c>
      <c r="AJ592" s="16">
        <f>(14*1.44)</f>
        <v>20.16</v>
      </c>
      <c r="AL592">
        <v>1700</v>
      </c>
      <c r="AO592">
        <v>61</v>
      </c>
      <c r="AR592">
        <v>7.2</v>
      </c>
      <c r="AW592">
        <v>1100</v>
      </c>
      <c r="AZ592">
        <v>110</v>
      </c>
      <c r="BA592">
        <v>21</v>
      </c>
      <c r="BD592">
        <v>20</v>
      </c>
      <c r="BG592" t="s">
        <v>155</v>
      </c>
    </row>
    <row r="593" spans="1:61" x14ac:dyDescent="0.2">
      <c r="A593" t="s">
        <v>1382</v>
      </c>
      <c r="B593" t="s">
        <v>1383</v>
      </c>
      <c r="C593" t="s">
        <v>1073</v>
      </c>
      <c r="D593" t="s">
        <v>372</v>
      </c>
      <c r="E593" s="1" t="s">
        <v>8</v>
      </c>
      <c r="F593" s="1" t="s">
        <v>153</v>
      </c>
      <c r="G593" s="32" t="s">
        <v>1385</v>
      </c>
      <c r="I593" s="16">
        <f>(5600*1.66)</f>
        <v>9296</v>
      </c>
      <c r="K593" t="s">
        <v>155</v>
      </c>
      <c r="N593">
        <v>20</v>
      </c>
      <c r="Q593" t="s">
        <v>155</v>
      </c>
      <c r="V593">
        <v>60</v>
      </c>
      <c r="W593">
        <v>52</v>
      </c>
      <c r="Z593">
        <v>3.3</v>
      </c>
      <c r="AC593" t="s">
        <v>155</v>
      </c>
      <c r="AF593">
        <v>11000</v>
      </c>
      <c r="AJ593" s="16">
        <f>(3.3*1.44)</f>
        <v>4.7519999999999998</v>
      </c>
      <c r="AL593">
        <v>610</v>
      </c>
      <c r="AO593">
        <v>80</v>
      </c>
      <c r="AR593">
        <v>4.5</v>
      </c>
      <c r="AW593">
        <v>590</v>
      </c>
      <c r="AX593" t="s">
        <v>155</v>
      </c>
      <c r="BA593">
        <v>27</v>
      </c>
      <c r="BD593">
        <v>14</v>
      </c>
      <c r="BG593" t="s">
        <v>155</v>
      </c>
    </row>
    <row r="594" spans="1:61" x14ac:dyDescent="0.2">
      <c r="A594" t="s">
        <v>1386</v>
      </c>
      <c r="B594" t="s">
        <v>1387</v>
      </c>
      <c r="C594" t="s">
        <v>298</v>
      </c>
      <c r="D594" t="s">
        <v>299</v>
      </c>
      <c r="F594" s="1" t="s">
        <v>141</v>
      </c>
      <c r="G594" s="32" t="s">
        <v>1388</v>
      </c>
      <c r="H594">
        <v>5600</v>
      </c>
      <c r="M594">
        <v>0.2</v>
      </c>
      <c r="N594">
        <v>41</v>
      </c>
      <c r="S594">
        <v>0.1</v>
      </c>
      <c r="T594">
        <v>43</v>
      </c>
      <c r="W594">
        <v>0.92</v>
      </c>
      <c r="Z594">
        <v>0.95</v>
      </c>
      <c r="AC594">
        <v>1.7</v>
      </c>
      <c r="AF594">
        <v>14000</v>
      </c>
      <c r="AI594">
        <v>14</v>
      </c>
      <c r="AL594">
        <v>700</v>
      </c>
      <c r="AO594">
        <v>700</v>
      </c>
      <c r="AR594">
        <v>1</v>
      </c>
      <c r="AU594">
        <v>940</v>
      </c>
      <c r="AZ594">
        <v>100</v>
      </c>
      <c r="BA594">
        <v>10</v>
      </c>
      <c r="BD594">
        <v>19</v>
      </c>
      <c r="BG594" t="s">
        <v>155</v>
      </c>
    </row>
    <row r="595" spans="1:61" x14ac:dyDescent="0.2">
      <c r="A595" t="s">
        <v>1386</v>
      </c>
      <c r="B595" t="s">
        <v>1387</v>
      </c>
      <c r="C595" t="s">
        <v>298</v>
      </c>
      <c r="D595" t="s">
        <v>299</v>
      </c>
      <c r="F595" s="1" t="s">
        <v>141</v>
      </c>
      <c r="G595" t="s">
        <v>1389</v>
      </c>
      <c r="H595">
        <v>5900</v>
      </c>
      <c r="M595">
        <v>0.2</v>
      </c>
      <c r="N595">
        <v>41</v>
      </c>
      <c r="S595">
        <v>9.8000000000000004E-2</v>
      </c>
      <c r="T595">
        <v>48</v>
      </c>
      <c r="W595">
        <v>0.9</v>
      </c>
      <c r="Z595">
        <v>1.1000000000000001</v>
      </c>
      <c r="AC595">
        <v>1.9</v>
      </c>
      <c r="AF595">
        <v>14000</v>
      </c>
      <c r="AI595">
        <v>9.9</v>
      </c>
      <c r="AL595">
        <v>910</v>
      </c>
      <c r="AO595">
        <v>120</v>
      </c>
      <c r="AR595">
        <v>0.98</v>
      </c>
      <c r="AU595">
        <v>1200</v>
      </c>
      <c r="AZ595">
        <v>98</v>
      </c>
      <c r="BA595">
        <v>10</v>
      </c>
      <c r="BD595">
        <v>22</v>
      </c>
      <c r="BG595" t="s">
        <v>155</v>
      </c>
    </row>
    <row r="596" spans="1:61" x14ac:dyDescent="0.2">
      <c r="A596" t="s">
        <v>1390</v>
      </c>
      <c r="B596" t="s">
        <v>1391</v>
      </c>
      <c r="C596" t="s">
        <v>626</v>
      </c>
      <c r="D596" t="s">
        <v>627</v>
      </c>
      <c r="E596" s="1" t="s">
        <v>8</v>
      </c>
      <c r="F596" s="1" t="s">
        <v>153</v>
      </c>
      <c r="G596" t="s">
        <v>1392</v>
      </c>
      <c r="H596" t="s">
        <v>155</v>
      </c>
      <c r="K596" t="s">
        <v>155</v>
      </c>
      <c r="N596">
        <v>16</v>
      </c>
      <c r="Q596" t="s">
        <v>155</v>
      </c>
      <c r="T596" t="s">
        <v>155</v>
      </c>
      <c r="W596" t="s">
        <v>155</v>
      </c>
      <c r="Z596" t="s">
        <v>155</v>
      </c>
      <c r="AC596" t="s">
        <v>155</v>
      </c>
      <c r="AF596" t="s">
        <v>155</v>
      </c>
      <c r="AI596" t="s">
        <v>155</v>
      </c>
      <c r="AL596" t="s">
        <v>155</v>
      </c>
      <c r="AO596" t="s">
        <v>155</v>
      </c>
      <c r="AR596" t="s">
        <v>155</v>
      </c>
      <c r="AU596" t="s">
        <v>155</v>
      </c>
      <c r="AX596" t="s">
        <v>155</v>
      </c>
      <c r="BA596" t="s">
        <v>155</v>
      </c>
      <c r="BD596">
        <v>14</v>
      </c>
      <c r="BG596" t="s">
        <v>155</v>
      </c>
    </row>
    <row r="597" spans="1:61" x14ac:dyDescent="0.2">
      <c r="A597" t="s">
        <v>1393</v>
      </c>
      <c r="B597" t="s">
        <v>1394</v>
      </c>
      <c r="C597" t="s">
        <v>1241</v>
      </c>
      <c r="D597" t="s">
        <v>133</v>
      </c>
      <c r="E597" s="1" t="s">
        <v>8</v>
      </c>
      <c r="F597" s="1" t="s">
        <v>140</v>
      </c>
      <c r="G597" t="s">
        <v>1395</v>
      </c>
      <c r="H597" t="s">
        <v>155</v>
      </c>
      <c r="M597">
        <v>10</v>
      </c>
      <c r="N597">
        <v>25</v>
      </c>
      <c r="S597">
        <v>15</v>
      </c>
      <c r="T597" t="s">
        <v>155</v>
      </c>
      <c r="Y597">
        <v>19</v>
      </c>
      <c r="Z597" s="13" t="s">
        <v>155</v>
      </c>
      <c r="AC597" t="s">
        <v>155</v>
      </c>
      <c r="AF597" t="s">
        <v>155</v>
      </c>
      <c r="AI597">
        <v>310</v>
      </c>
      <c r="AL597" t="s">
        <v>155</v>
      </c>
      <c r="AO597" t="s">
        <v>155</v>
      </c>
      <c r="AR597" t="s">
        <v>155</v>
      </c>
      <c r="AU597" t="s">
        <v>155</v>
      </c>
      <c r="AX597" t="s">
        <v>155</v>
      </c>
      <c r="BA597" t="s">
        <v>155</v>
      </c>
      <c r="BD597" t="s">
        <v>155</v>
      </c>
      <c r="BI597">
        <v>0.1</v>
      </c>
    </row>
    <row r="598" spans="1:61" x14ac:dyDescent="0.2">
      <c r="A598" t="s">
        <v>1396</v>
      </c>
      <c r="B598" t="s">
        <v>1397</v>
      </c>
      <c r="C598" t="s">
        <v>1398</v>
      </c>
      <c r="D598" t="s">
        <v>133</v>
      </c>
      <c r="E598" s="1" t="s">
        <v>8</v>
      </c>
      <c r="F598" s="1" t="s">
        <v>140</v>
      </c>
      <c r="G598" t="s">
        <v>1399</v>
      </c>
      <c r="H598" t="s">
        <v>155</v>
      </c>
      <c r="K598" t="s">
        <v>155</v>
      </c>
      <c r="N598" t="s">
        <v>155</v>
      </c>
      <c r="Q598" t="s">
        <v>155</v>
      </c>
      <c r="T598" t="s">
        <v>155</v>
      </c>
      <c r="W598" t="s">
        <v>155</v>
      </c>
      <c r="Z598" t="s">
        <v>155</v>
      </c>
      <c r="AC598" t="s">
        <v>155</v>
      </c>
      <c r="AF598" t="s">
        <v>155</v>
      </c>
      <c r="AI598" t="s">
        <v>155</v>
      </c>
      <c r="AL598" t="s">
        <v>155</v>
      </c>
      <c r="AO598" t="s">
        <v>155</v>
      </c>
      <c r="AR598" t="s">
        <v>155</v>
      </c>
      <c r="AU598" t="s">
        <v>155</v>
      </c>
      <c r="AX598" t="s">
        <v>155</v>
      </c>
      <c r="BA598" t="s">
        <v>155</v>
      </c>
      <c r="BD598">
        <v>4.4000000000000004</v>
      </c>
      <c r="BG598" t="s">
        <v>155</v>
      </c>
    </row>
    <row r="599" spans="1:61" x14ac:dyDescent="0.2">
      <c r="A599" t="s">
        <v>1400</v>
      </c>
      <c r="B599" t="s">
        <v>1401</v>
      </c>
      <c r="C599" t="s">
        <v>1311</v>
      </c>
      <c r="D599" t="s">
        <v>127</v>
      </c>
      <c r="F599" s="1" t="s">
        <v>141</v>
      </c>
      <c r="G599" t="s">
        <v>1402</v>
      </c>
      <c r="H599" t="s">
        <v>155</v>
      </c>
      <c r="M599">
        <v>4.5</v>
      </c>
      <c r="N599">
        <v>5</v>
      </c>
      <c r="S599">
        <v>2.2999999999999998</v>
      </c>
      <c r="T599" t="s">
        <v>155</v>
      </c>
      <c r="W599">
        <v>4.5</v>
      </c>
      <c r="Z599" t="s">
        <v>155</v>
      </c>
      <c r="AC599" t="s">
        <v>155</v>
      </c>
      <c r="AF599" t="s">
        <v>155</v>
      </c>
      <c r="AI599">
        <v>99</v>
      </c>
      <c r="AL599" t="s">
        <v>155</v>
      </c>
      <c r="AO599" t="s">
        <v>155</v>
      </c>
      <c r="AR599" t="s">
        <v>155</v>
      </c>
      <c r="AU599" t="s">
        <v>155</v>
      </c>
      <c r="AX599" t="s">
        <v>155</v>
      </c>
      <c r="BA599" t="s">
        <v>155</v>
      </c>
      <c r="BD599" t="s">
        <v>155</v>
      </c>
      <c r="BI599">
        <v>0.1</v>
      </c>
    </row>
    <row r="600" spans="1:61" x14ac:dyDescent="0.2">
      <c r="A600" t="s">
        <v>1403</v>
      </c>
      <c r="B600" t="s">
        <v>1404</v>
      </c>
      <c r="C600" t="s">
        <v>473</v>
      </c>
      <c r="D600" t="s">
        <v>474</v>
      </c>
      <c r="E600" s="1" t="s">
        <v>8</v>
      </c>
      <c r="F600" s="1" t="s">
        <v>140</v>
      </c>
      <c r="G600" t="s">
        <v>1405</v>
      </c>
      <c r="H600" t="s">
        <v>155</v>
      </c>
      <c r="M600">
        <v>4</v>
      </c>
      <c r="N600">
        <v>21</v>
      </c>
      <c r="S600">
        <v>4</v>
      </c>
      <c r="T600" t="s">
        <v>155</v>
      </c>
      <c r="Y600">
        <v>4</v>
      </c>
      <c r="Z600" t="s">
        <v>155</v>
      </c>
      <c r="AC600" t="s">
        <v>155</v>
      </c>
      <c r="AF600" t="s">
        <v>155</v>
      </c>
      <c r="AK600">
        <v>4</v>
      </c>
      <c r="AL600" t="s">
        <v>155</v>
      </c>
      <c r="AO600" t="s">
        <v>155</v>
      </c>
      <c r="AR600" t="s">
        <v>155</v>
      </c>
      <c r="AU600" t="s">
        <v>155</v>
      </c>
      <c r="AX600" t="s">
        <v>155</v>
      </c>
      <c r="BA600" t="s">
        <v>155</v>
      </c>
      <c r="BD600">
        <v>23</v>
      </c>
      <c r="BI600">
        <v>0.2</v>
      </c>
    </row>
    <row r="601" spans="1:61" x14ac:dyDescent="0.2">
      <c r="A601" t="s">
        <v>1403</v>
      </c>
      <c r="B601" t="s">
        <v>1404</v>
      </c>
      <c r="C601" t="s">
        <v>473</v>
      </c>
      <c r="D601" t="s">
        <v>474</v>
      </c>
      <c r="E601" s="1" t="s">
        <v>8</v>
      </c>
      <c r="F601" s="1" t="s">
        <v>140</v>
      </c>
      <c r="G601" t="s">
        <v>1406</v>
      </c>
      <c r="H601" t="s">
        <v>155</v>
      </c>
      <c r="M601">
        <v>4</v>
      </c>
      <c r="N601">
        <v>16</v>
      </c>
      <c r="S601">
        <v>4</v>
      </c>
      <c r="T601" t="s">
        <v>155</v>
      </c>
      <c r="Y601">
        <v>4</v>
      </c>
      <c r="Z601" t="s">
        <v>155</v>
      </c>
      <c r="AC601" t="s">
        <v>155</v>
      </c>
      <c r="AF601" t="s">
        <v>155</v>
      </c>
      <c r="AI601">
        <v>8</v>
      </c>
      <c r="AL601" t="s">
        <v>155</v>
      </c>
      <c r="AO601" t="s">
        <v>155</v>
      </c>
      <c r="AR601" t="s">
        <v>155</v>
      </c>
      <c r="AU601" t="s">
        <v>155</v>
      </c>
      <c r="AX601" t="s">
        <v>155</v>
      </c>
      <c r="BA601" t="s">
        <v>155</v>
      </c>
      <c r="BD601">
        <v>57</v>
      </c>
      <c r="BI601">
        <v>0.2</v>
      </c>
    </row>
    <row r="602" spans="1:61" x14ac:dyDescent="0.2">
      <c r="A602" t="s">
        <v>1407</v>
      </c>
      <c r="B602" t="s">
        <v>1408</v>
      </c>
      <c r="C602" t="s">
        <v>1409</v>
      </c>
      <c r="D602" t="s">
        <v>474</v>
      </c>
      <c r="E602" s="1" t="s">
        <v>8</v>
      </c>
      <c r="F602" s="1" t="s">
        <v>140</v>
      </c>
      <c r="G602" t="s">
        <v>1410</v>
      </c>
      <c r="H602" t="s">
        <v>155</v>
      </c>
      <c r="K602">
        <v>2</v>
      </c>
      <c r="N602">
        <v>20</v>
      </c>
      <c r="S602">
        <v>9.8000000000000007</v>
      </c>
      <c r="T602" t="s">
        <v>155</v>
      </c>
      <c r="Y602">
        <v>9.8000000000000007</v>
      </c>
      <c r="Z602" t="s">
        <v>155</v>
      </c>
      <c r="AE602">
        <v>9.8000000000000007</v>
      </c>
      <c r="AF602" t="s">
        <v>155</v>
      </c>
      <c r="AK602">
        <v>20</v>
      </c>
      <c r="AL602" t="s">
        <v>155</v>
      </c>
      <c r="AO602">
        <v>59</v>
      </c>
      <c r="AR602" t="s">
        <v>155</v>
      </c>
      <c r="AU602" t="s">
        <v>155</v>
      </c>
      <c r="AX602" t="s">
        <v>155</v>
      </c>
      <c r="BA602" t="s">
        <v>155</v>
      </c>
      <c r="BD602">
        <v>12</v>
      </c>
      <c r="BI602">
        <v>0.09</v>
      </c>
    </row>
    <row r="603" spans="1:61" x14ac:dyDescent="0.2">
      <c r="A603" t="s">
        <v>1407</v>
      </c>
      <c r="B603" t="s">
        <v>1408</v>
      </c>
      <c r="C603" t="s">
        <v>1409</v>
      </c>
      <c r="D603" t="s">
        <v>474</v>
      </c>
      <c r="E603" s="1" t="s">
        <v>8</v>
      </c>
      <c r="F603" s="1" t="s">
        <v>140</v>
      </c>
      <c r="G603" t="s">
        <v>1411</v>
      </c>
      <c r="H603" t="s">
        <v>155</v>
      </c>
      <c r="K603">
        <v>2</v>
      </c>
      <c r="N603">
        <v>20</v>
      </c>
      <c r="S603">
        <v>9.8000000000000007</v>
      </c>
      <c r="T603" t="s">
        <v>155</v>
      </c>
      <c r="Y603">
        <v>9.8000000000000007</v>
      </c>
      <c r="Z603" t="s">
        <v>155</v>
      </c>
      <c r="AE603">
        <v>9.8000000000000007</v>
      </c>
      <c r="AF603" t="s">
        <v>155</v>
      </c>
      <c r="AK603">
        <v>20</v>
      </c>
      <c r="AL603" t="s">
        <v>155</v>
      </c>
      <c r="AO603">
        <v>84</v>
      </c>
      <c r="AR603" t="s">
        <v>155</v>
      </c>
      <c r="AU603" t="s">
        <v>155</v>
      </c>
      <c r="AX603" t="s">
        <v>155</v>
      </c>
      <c r="BA603" t="s">
        <v>155</v>
      </c>
      <c r="BD603">
        <v>12</v>
      </c>
      <c r="BI603">
        <v>0.09</v>
      </c>
    </row>
    <row r="604" spans="1:61" x14ac:dyDescent="0.2">
      <c r="A604" t="s">
        <v>1407</v>
      </c>
      <c r="B604" t="s">
        <v>1408</v>
      </c>
      <c r="C604" t="s">
        <v>1409</v>
      </c>
      <c r="D604" t="s">
        <v>474</v>
      </c>
      <c r="E604" s="1" t="s">
        <v>8</v>
      </c>
      <c r="F604" s="1" t="s">
        <v>153</v>
      </c>
      <c r="G604" t="s">
        <v>1412</v>
      </c>
      <c r="H604" t="s">
        <v>155</v>
      </c>
      <c r="M604">
        <v>2</v>
      </c>
      <c r="N604">
        <v>7.8</v>
      </c>
      <c r="S604">
        <v>9.8000000000000007</v>
      </c>
      <c r="T604" t="s">
        <v>155</v>
      </c>
      <c r="Y604">
        <v>9.8000000000000007</v>
      </c>
      <c r="Z604" t="s">
        <v>155</v>
      </c>
      <c r="AE604">
        <v>9.8000000000000007</v>
      </c>
      <c r="AF604" t="s">
        <v>155</v>
      </c>
      <c r="AK604">
        <v>20</v>
      </c>
      <c r="AL604" t="s">
        <v>155</v>
      </c>
      <c r="AO604">
        <v>58</v>
      </c>
      <c r="AR604" t="s">
        <v>155</v>
      </c>
      <c r="AU604" t="s">
        <v>155</v>
      </c>
      <c r="AX604" t="s">
        <v>155</v>
      </c>
      <c r="BA604" t="s">
        <v>155</v>
      </c>
      <c r="BF604">
        <v>9.8000000000000007</v>
      </c>
      <c r="BI604">
        <v>0.09</v>
      </c>
    </row>
    <row r="605" spans="1:61" x14ac:dyDescent="0.2">
      <c r="A605" t="s">
        <v>1407</v>
      </c>
      <c r="B605" t="s">
        <v>1408</v>
      </c>
      <c r="C605" t="s">
        <v>1409</v>
      </c>
      <c r="D605" t="s">
        <v>474</v>
      </c>
      <c r="E605" s="1" t="s">
        <v>8</v>
      </c>
      <c r="F605" s="1" t="s">
        <v>153</v>
      </c>
      <c r="G605" t="s">
        <v>1413</v>
      </c>
      <c r="H605" t="s">
        <v>155</v>
      </c>
      <c r="M605">
        <v>2</v>
      </c>
      <c r="N605">
        <v>59</v>
      </c>
      <c r="S605">
        <v>9.8000000000000007</v>
      </c>
      <c r="T605" t="s">
        <v>155</v>
      </c>
      <c r="Y605">
        <v>9.8000000000000007</v>
      </c>
      <c r="Z605" t="s">
        <v>155</v>
      </c>
      <c r="AC605">
        <v>12</v>
      </c>
      <c r="AF605" t="s">
        <v>155</v>
      </c>
      <c r="AK605">
        <v>20</v>
      </c>
      <c r="AL605" t="s">
        <v>155</v>
      </c>
      <c r="AO605">
        <v>170</v>
      </c>
      <c r="AR605" t="s">
        <v>155</v>
      </c>
      <c r="AU605" t="s">
        <v>155</v>
      </c>
      <c r="AX605" t="s">
        <v>155</v>
      </c>
      <c r="BA605" t="s">
        <v>155</v>
      </c>
      <c r="BD605">
        <v>27</v>
      </c>
      <c r="BI605">
        <v>0.09</v>
      </c>
    </row>
    <row r="606" spans="1:61" x14ac:dyDescent="0.2">
      <c r="A606" t="s">
        <v>1407</v>
      </c>
      <c r="B606" t="s">
        <v>1408</v>
      </c>
      <c r="C606" t="s">
        <v>1409</v>
      </c>
      <c r="D606" t="s">
        <v>474</v>
      </c>
      <c r="E606" s="1" t="s">
        <v>8</v>
      </c>
      <c r="F606" s="1" t="s">
        <v>153</v>
      </c>
      <c r="G606" t="s">
        <v>1414</v>
      </c>
      <c r="H606" t="s">
        <v>155</v>
      </c>
      <c r="M606">
        <v>2</v>
      </c>
      <c r="N606">
        <v>23</v>
      </c>
      <c r="S606">
        <v>9.8000000000000007</v>
      </c>
      <c r="T606" t="s">
        <v>155</v>
      </c>
      <c r="Y606">
        <v>9.8000000000000007</v>
      </c>
      <c r="Z606" t="s">
        <v>155</v>
      </c>
      <c r="AE606">
        <v>9.8000000000000007</v>
      </c>
      <c r="AF606" t="s">
        <v>155</v>
      </c>
      <c r="AK606">
        <v>20</v>
      </c>
      <c r="AL606" t="s">
        <v>155</v>
      </c>
      <c r="AO606">
        <v>70</v>
      </c>
      <c r="AR606" t="s">
        <v>155</v>
      </c>
      <c r="AU606" t="s">
        <v>155</v>
      </c>
      <c r="AX606" t="s">
        <v>155</v>
      </c>
      <c r="BA606" t="s">
        <v>155</v>
      </c>
      <c r="BD606">
        <v>12</v>
      </c>
      <c r="BI606">
        <v>0.09</v>
      </c>
    </row>
    <row r="607" spans="1:61" ht="16" x14ac:dyDescent="0.2">
      <c r="A607" s="19" t="s">
        <v>1415</v>
      </c>
      <c r="B607" s="10" t="s">
        <v>1416</v>
      </c>
      <c r="C607" s="10" t="s">
        <v>291</v>
      </c>
      <c r="D607" s="10" t="s">
        <v>292</v>
      </c>
      <c r="E607" s="11" t="s">
        <v>8</v>
      </c>
      <c r="F607" s="11" t="s">
        <v>140</v>
      </c>
      <c r="G607" s="10" t="s">
        <v>1417</v>
      </c>
      <c r="I607" s="16">
        <f>(230*1.66)</f>
        <v>381.79999999999995</v>
      </c>
      <c r="M607">
        <v>0.5</v>
      </c>
      <c r="N607">
        <v>0.99</v>
      </c>
      <c r="S607">
        <v>0.25</v>
      </c>
      <c r="V607">
        <v>50</v>
      </c>
      <c r="W607">
        <v>0.68</v>
      </c>
      <c r="AB607">
        <v>0.5</v>
      </c>
      <c r="AD607" s="16">
        <f>(1.3*1.22)</f>
        <v>1.5860000000000001</v>
      </c>
      <c r="AG607" s="16">
        <f>(350*1.34)</f>
        <v>469</v>
      </c>
      <c r="AI607">
        <v>1.2</v>
      </c>
      <c r="AN607">
        <v>50</v>
      </c>
      <c r="AO607">
        <v>2.4</v>
      </c>
      <c r="AT607">
        <v>1</v>
      </c>
      <c r="AW607">
        <v>200</v>
      </c>
      <c r="AZ607">
        <v>200</v>
      </c>
      <c r="BA607">
        <v>0.69</v>
      </c>
      <c r="BD607">
        <v>2.1</v>
      </c>
      <c r="BI607">
        <v>4.7E-2</v>
      </c>
    </row>
    <row r="608" spans="1:61" ht="16" x14ac:dyDescent="0.2">
      <c r="A608" s="19" t="s">
        <v>1415</v>
      </c>
      <c r="B608" s="10" t="s">
        <v>1416</v>
      </c>
      <c r="C608" s="10" t="s">
        <v>291</v>
      </c>
      <c r="D608" s="10" t="s">
        <v>292</v>
      </c>
      <c r="E608" s="11" t="s">
        <v>8</v>
      </c>
      <c r="F608" s="11" t="s">
        <v>140</v>
      </c>
      <c r="G608" s="10" t="s">
        <v>1418</v>
      </c>
      <c r="H608">
        <v>240</v>
      </c>
      <c r="M608">
        <v>0.5</v>
      </c>
      <c r="N608">
        <v>1.1000000000000001</v>
      </c>
      <c r="S608">
        <v>0.25</v>
      </c>
      <c r="V608">
        <v>50</v>
      </c>
      <c r="W608">
        <v>0.59</v>
      </c>
      <c r="AB608">
        <v>0.5</v>
      </c>
      <c r="AC608">
        <v>1.8</v>
      </c>
      <c r="AF608">
        <v>400</v>
      </c>
      <c r="AI608">
        <v>2.4</v>
      </c>
      <c r="AN608">
        <v>50</v>
      </c>
      <c r="AQ608">
        <v>50</v>
      </c>
      <c r="AR608">
        <v>1</v>
      </c>
      <c r="AW608">
        <v>200</v>
      </c>
      <c r="AZ608">
        <v>200</v>
      </c>
      <c r="BA608">
        <v>0.78</v>
      </c>
      <c r="BD608">
        <v>2.1</v>
      </c>
      <c r="BI608">
        <v>4.7E-2</v>
      </c>
    </row>
    <row r="609" spans="1:61" ht="16" x14ac:dyDescent="0.2">
      <c r="A609" s="19" t="s">
        <v>1419</v>
      </c>
      <c r="B609" s="10" t="s">
        <v>1420</v>
      </c>
      <c r="C609" s="10" t="s">
        <v>1421</v>
      </c>
      <c r="D609" s="10" t="s">
        <v>191</v>
      </c>
      <c r="E609" s="11" t="s">
        <v>168</v>
      </c>
      <c r="F609" s="11" t="s">
        <v>153</v>
      </c>
      <c r="G609" s="10" t="s">
        <v>1422</v>
      </c>
      <c r="H609">
        <v>8100</v>
      </c>
      <c r="L609" s="16">
        <f>(5.6*1.74)</f>
        <v>9.7439999999999998</v>
      </c>
      <c r="N609">
        <v>42</v>
      </c>
      <c r="S609">
        <v>0.46</v>
      </c>
      <c r="V609">
        <v>560</v>
      </c>
      <c r="W609">
        <v>36</v>
      </c>
      <c r="Z609">
        <v>12</v>
      </c>
      <c r="AC609">
        <v>13</v>
      </c>
      <c r="AF609">
        <v>28000</v>
      </c>
      <c r="AJ609" s="16">
        <f>(10*1.44)</f>
        <v>14.399999999999999</v>
      </c>
      <c r="AM609" s="16">
        <f>(2400*1.23)</f>
        <v>2952</v>
      </c>
      <c r="AO609">
        <v>570</v>
      </c>
      <c r="AR609">
        <v>11</v>
      </c>
      <c r="AV609" s="16">
        <f>(160*17.49)</f>
        <v>2798.3999999999996</v>
      </c>
      <c r="AY609" s="16">
        <f>(50*25.43)</f>
        <v>1271.5</v>
      </c>
      <c r="BA609">
        <v>36</v>
      </c>
      <c r="BD609">
        <v>32</v>
      </c>
      <c r="BI609">
        <v>0.13</v>
      </c>
    </row>
    <row r="610" spans="1:61" ht="16" x14ac:dyDescent="0.2">
      <c r="A610" s="19" t="s">
        <v>1419</v>
      </c>
      <c r="B610" s="10" t="s">
        <v>1420</v>
      </c>
      <c r="C610" s="10" t="s">
        <v>1421</v>
      </c>
      <c r="D610" s="10" t="s">
        <v>191</v>
      </c>
      <c r="E610" s="11" t="s">
        <v>168</v>
      </c>
      <c r="F610" s="11" t="s">
        <v>153</v>
      </c>
      <c r="G610" s="10" t="s">
        <v>1423</v>
      </c>
      <c r="H610">
        <v>1400</v>
      </c>
      <c r="L610" s="16">
        <f>(4.2*1.74)</f>
        <v>7.3079999999999998</v>
      </c>
      <c r="N610">
        <v>120</v>
      </c>
      <c r="S610">
        <v>0.24</v>
      </c>
      <c r="T610">
        <v>1200</v>
      </c>
      <c r="W610">
        <v>24</v>
      </c>
      <c r="Z610">
        <v>8.1999999999999993</v>
      </c>
      <c r="AC610">
        <v>22</v>
      </c>
      <c r="AF610">
        <v>25000</v>
      </c>
      <c r="AJ610" s="16">
        <f>(13*1.44)</f>
        <v>18.72</v>
      </c>
      <c r="AM610" s="16">
        <f>(1800*1.23)</f>
        <v>2214</v>
      </c>
      <c r="AO610">
        <v>450</v>
      </c>
      <c r="AR610">
        <v>12</v>
      </c>
      <c r="AW610">
        <v>520</v>
      </c>
      <c r="AY610" s="16">
        <f>(72*25.43)</f>
        <v>1830.96</v>
      </c>
      <c r="BA610">
        <v>40</v>
      </c>
      <c r="BD610">
        <v>40</v>
      </c>
      <c r="BI610">
        <v>9.2999999999999999E-2</v>
      </c>
    </row>
    <row r="611" spans="1:61" ht="16" x14ac:dyDescent="0.2">
      <c r="A611" s="19" t="s">
        <v>1419</v>
      </c>
      <c r="B611" s="10" t="s">
        <v>1420</v>
      </c>
      <c r="C611" s="10" t="s">
        <v>1421</v>
      </c>
      <c r="D611" s="10" t="s">
        <v>191</v>
      </c>
      <c r="E611" s="11" t="s">
        <v>168</v>
      </c>
      <c r="F611" s="11" t="s">
        <v>153</v>
      </c>
      <c r="G611" s="10" t="s">
        <v>1424</v>
      </c>
      <c r="H611">
        <v>6200</v>
      </c>
      <c r="L611" s="16">
        <f>(5.2*1.74)</f>
        <v>9.048</v>
      </c>
      <c r="N611">
        <v>45</v>
      </c>
      <c r="S611">
        <v>0.75</v>
      </c>
      <c r="V611">
        <v>560</v>
      </c>
      <c r="W611">
        <v>24</v>
      </c>
      <c r="AA611" s="16">
        <f>(7*1.25)</f>
        <v>8.75</v>
      </c>
      <c r="AC611">
        <v>14</v>
      </c>
      <c r="AF611">
        <v>12000</v>
      </c>
      <c r="AJ611" s="16">
        <f>(8.6*1.44)</f>
        <v>12.383999999999999</v>
      </c>
      <c r="AM611" s="16">
        <f>(980*1.23)</f>
        <v>1205.4000000000001</v>
      </c>
      <c r="AO611">
        <v>120</v>
      </c>
      <c r="AR611">
        <v>9.6999999999999993</v>
      </c>
      <c r="AW611">
        <v>580</v>
      </c>
      <c r="AY611" s="16">
        <f>(70*25.43)</f>
        <v>1780.1</v>
      </c>
      <c r="BA611">
        <v>24</v>
      </c>
      <c r="BD611">
        <v>18</v>
      </c>
      <c r="BG611">
        <v>1.1000000000000001</v>
      </c>
    </row>
    <row r="612" spans="1:61" ht="16" x14ac:dyDescent="0.2">
      <c r="A612" s="19" t="s">
        <v>1419</v>
      </c>
      <c r="B612" s="10" t="s">
        <v>1420</v>
      </c>
      <c r="C612" s="10" t="s">
        <v>1421</v>
      </c>
      <c r="D612" s="10" t="s">
        <v>191</v>
      </c>
      <c r="E612" s="11" t="s">
        <v>168</v>
      </c>
      <c r="F612" s="11" t="s">
        <v>140</v>
      </c>
      <c r="G612" s="10" t="s">
        <v>1425</v>
      </c>
      <c r="H612">
        <v>10000</v>
      </c>
      <c r="K612">
        <v>70</v>
      </c>
      <c r="N612">
        <v>43</v>
      </c>
      <c r="S612">
        <v>0.26</v>
      </c>
      <c r="T612">
        <v>580</v>
      </c>
      <c r="W612">
        <v>15</v>
      </c>
      <c r="AB612">
        <v>3.1</v>
      </c>
      <c r="AC612">
        <v>19</v>
      </c>
      <c r="AF612">
        <v>21000</v>
      </c>
      <c r="AJ612" s="16">
        <f>(15*1.44)</f>
        <v>21.599999999999998</v>
      </c>
      <c r="AN612">
        <v>320</v>
      </c>
      <c r="AO612">
        <v>220</v>
      </c>
      <c r="AS612" s="16">
        <f>(3.2*1.35)</f>
        <v>4.32</v>
      </c>
      <c r="AW612">
        <v>340</v>
      </c>
      <c r="AY612" s="16">
        <f>(45*25.43)</f>
        <v>1144.3499999999999</v>
      </c>
      <c r="BA612">
        <v>38</v>
      </c>
      <c r="BD612">
        <v>15</v>
      </c>
      <c r="BI612">
        <v>0.12</v>
      </c>
    </row>
    <row r="613" spans="1:61" x14ac:dyDescent="0.2">
      <c r="A613" t="s">
        <v>1426</v>
      </c>
      <c r="B613" t="s">
        <v>1427</v>
      </c>
      <c r="C613" t="s">
        <v>1254</v>
      </c>
      <c r="D613" t="s">
        <v>152</v>
      </c>
      <c r="E613" s="1" t="s">
        <v>8</v>
      </c>
      <c r="F613" s="1" t="s">
        <v>153</v>
      </c>
      <c r="G613" t="s">
        <v>1428</v>
      </c>
      <c r="H613" t="s">
        <v>155</v>
      </c>
      <c r="K613">
        <v>16</v>
      </c>
      <c r="N613">
        <v>139</v>
      </c>
      <c r="S613">
        <v>4</v>
      </c>
      <c r="T613" t="s">
        <v>155</v>
      </c>
      <c r="W613">
        <v>106</v>
      </c>
      <c r="Z613">
        <v>20</v>
      </c>
      <c r="AC613">
        <v>3317</v>
      </c>
      <c r="AF613">
        <v>148884</v>
      </c>
      <c r="AI613">
        <v>1291</v>
      </c>
      <c r="AL613" t="s">
        <v>155</v>
      </c>
      <c r="AO613">
        <v>863</v>
      </c>
      <c r="AR613">
        <v>56</v>
      </c>
      <c r="AU613" t="s">
        <v>155</v>
      </c>
      <c r="AX613" t="s">
        <v>155</v>
      </c>
      <c r="BA613">
        <v>64</v>
      </c>
      <c r="BD613">
        <v>384</v>
      </c>
      <c r="BI613">
        <v>0.01</v>
      </c>
    </row>
    <row r="614" spans="1:61" x14ac:dyDescent="0.2">
      <c r="A614" s="10" t="s">
        <v>1426</v>
      </c>
      <c r="B614" s="10" t="s">
        <v>1427</v>
      </c>
      <c r="C614" s="10" t="s">
        <v>1254</v>
      </c>
      <c r="D614" s="10" t="s">
        <v>152</v>
      </c>
      <c r="E614" s="11" t="s">
        <v>8</v>
      </c>
      <c r="F614" s="11" t="s">
        <v>140</v>
      </c>
      <c r="G614" s="10" t="s">
        <v>1429</v>
      </c>
      <c r="I614" s="16">
        <f>(27000*1.66)</f>
        <v>44820</v>
      </c>
      <c r="L614" s="16">
        <f>(4.7*1.74)</f>
        <v>8.1780000000000008</v>
      </c>
      <c r="N614">
        <v>170</v>
      </c>
      <c r="R614" s="16">
        <f>(0.26*1.41)</f>
        <v>0.36659999999999998</v>
      </c>
      <c r="T614">
        <v>27000</v>
      </c>
      <c r="W614">
        <v>39</v>
      </c>
      <c r="AA614" s="16">
        <f>(14*1.25)</f>
        <v>17.5</v>
      </c>
      <c r="AD614" s="16">
        <f>(31*1.22)</f>
        <v>37.82</v>
      </c>
      <c r="AF614">
        <v>35000</v>
      </c>
      <c r="AJ614" s="16">
        <f>(97*1.44)</f>
        <v>139.68</v>
      </c>
      <c r="AL614">
        <v>2900</v>
      </c>
      <c r="AP614" s="16">
        <f>(730*1.24)</f>
        <v>905.2</v>
      </c>
      <c r="AR614">
        <v>15</v>
      </c>
      <c r="AV614" s="16">
        <f>(3100*17.49)</f>
        <v>54218.999999999993</v>
      </c>
      <c r="AZ614">
        <v>150</v>
      </c>
      <c r="BA614">
        <v>72</v>
      </c>
      <c r="BE614" s="16">
        <f>(140*1.5)</f>
        <v>210</v>
      </c>
      <c r="BG614">
        <v>0.12</v>
      </c>
    </row>
    <row r="615" spans="1:61" x14ac:dyDescent="0.2">
      <c r="A615" s="10" t="s">
        <v>1426</v>
      </c>
      <c r="B615" s="10" t="s">
        <v>1427</v>
      </c>
      <c r="C615" s="10" t="s">
        <v>1254</v>
      </c>
      <c r="D615" s="10" t="s">
        <v>152</v>
      </c>
      <c r="E615" s="11" t="s">
        <v>8</v>
      </c>
      <c r="F615" s="11" t="s">
        <v>141</v>
      </c>
      <c r="G615" s="10" t="s">
        <v>1430</v>
      </c>
      <c r="I615" s="16">
        <f>(55000*1.66)</f>
        <v>91300</v>
      </c>
      <c r="L615" s="16">
        <f>(8.4*1.74)</f>
        <v>14.616</v>
      </c>
      <c r="N615">
        <v>61</v>
      </c>
      <c r="S615">
        <v>0.71</v>
      </c>
      <c r="T615">
        <v>1600</v>
      </c>
      <c r="W615">
        <v>80</v>
      </c>
      <c r="AA615" s="16">
        <f>(3*1.25)</f>
        <v>3.75</v>
      </c>
      <c r="AD615" s="16">
        <f>(24*1.22)</f>
        <v>29.28</v>
      </c>
      <c r="AF615">
        <v>74000</v>
      </c>
      <c r="AJ615" s="16">
        <f>(27*1.44)</f>
        <v>38.879999999999995</v>
      </c>
      <c r="AM615" s="16">
        <f>(700*1.23)</f>
        <v>861</v>
      </c>
      <c r="AO615">
        <v>100</v>
      </c>
      <c r="AR615">
        <v>12</v>
      </c>
      <c r="AU615">
        <v>790</v>
      </c>
      <c r="AZ615">
        <v>170</v>
      </c>
      <c r="BA615">
        <v>150</v>
      </c>
      <c r="BE615" s="16">
        <f>(33*1.5)</f>
        <v>49.5</v>
      </c>
      <c r="BG615">
        <v>0.25</v>
      </c>
    </row>
    <row r="616" spans="1:61" x14ac:dyDescent="0.2">
      <c r="A616" s="10" t="s">
        <v>1426</v>
      </c>
      <c r="B616" s="10" t="s">
        <v>1427</v>
      </c>
      <c r="C616" s="10" t="s">
        <v>1254</v>
      </c>
      <c r="D616" s="10" t="s">
        <v>152</v>
      </c>
      <c r="E616" s="11" t="s">
        <v>8</v>
      </c>
      <c r="F616" s="11" t="s">
        <v>153</v>
      </c>
      <c r="G616" s="10" t="s">
        <v>1431</v>
      </c>
      <c r="I616" s="16">
        <f>(6400*1.66)</f>
        <v>10624</v>
      </c>
      <c r="M616">
        <v>0.67</v>
      </c>
      <c r="N616">
        <v>40</v>
      </c>
      <c r="S616">
        <v>0.67</v>
      </c>
      <c r="T616">
        <v>1300</v>
      </c>
      <c r="W616">
        <v>17</v>
      </c>
      <c r="AA616" s="16">
        <f>(6.1*1.25)</f>
        <v>7.625</v>
      </c>
      <c r="AD616" s="16">
        <f>(15*1.22)</f>
        <v>18.3</v>
      </c>
      <c r="AF616">
        <v>11000</v>
      </c>
      <c r="AJ616" s="16">
        <f>(16*1.44)</f>
        <v>23.04</v>
      </c>
      <c r="AL616">
        <v>2000</v>
      </c>
      <c r="AO616">
        <v>230</v>
      </c>
      <c r="AR616">
        <v>10</v>
      </c>
      <c r="AU616">
        <v>1200</v>
      </c>
      <c r="AZ616">
        <v>170</v>
      </c>
      <c r="BA616">
        <v>22</v>
      </c>
      <c r="BE616" s="16">
        <f>(44*1.5)</f>
        <v>66</v>
      </c>
      <c r="BI616">
        <v>0.13</v>
      </c>
    </row>
    <row r="617" spans="1:61" x14ac:dyDescent="0.2">
      <c r="A617" t="s">
        <v>1432</v>
      </c>
      <c r="B617" t="s">
        <v>1433</v>
      </c>
      <c r="C617" t="s">
        <v>1254</v>
      </c>
      <c r="D617" t="s">
        <v>152</v>
      </c>
      <c r="E617" s="1" t="s">
        <v>8</v>
      </c>
      <c r="F617" s="1" t="s">
        <v>153</v>
      </c>
      <c r="G617" t="s">
        <v>1434</v>
      </c>
      <c r="J617">
        <v>20000</v>
      </c>
      <c r="M617">
        <v>2.5</v>
      </c>
      <c r="N617" t="s">
        <v>155</v>
      </c>
      <c r="Q617" t="s">
        <v>155</v>
      </c>
      <c r="T617" t="s">
        <v>155</v>
      </c>
      <c r="W617">
        <v>31</v>
      </c>
      <c r="Z617" t="s">
        <v>155</v>
      </c>
      <c r="AC617" t="s">
        <v>155</v>
      </c>
      <c r="AF617">
        <v>22000</v>
      </c>
      <c r="AI617">
        <v>24</v>
      </c>
      <c r="AL617" t="s">
        <v>155</v>
      </c>
      <c r="AO617">
        <v>490</v>
      </c>
      <c r="AR617">
        <v>15</v>
      </c>
      <c r="AU617" t="s">
        <v>155</v>
      </c>
      <c r="AX617" t="s">
        <v>155</v>
      </c>
      <c r="BA617">
        <v>48</v>
      </c>
      <c r="BD617">
        <v>71</v>
      </c>
      <c r="BI617">
        <v>0.17</v>
      </c>
    </row>
    <row r="618" spans="1:61" x14ac:dyDescent="0.2">
      <c r="A618" t="s">
        <v>1432</v>
      </c>
      <c r="B618" t="s">
        <v>1433</v>
      </c>
      <c r="C618" t="s">
        <v>1254</v>
      </c>
      <c r="D618" t="s">
        <v>152</v>
      </c>
      <c r="E618" s="1" t="s">
        <v>8</v>
      </c>
      <c r="F618" s="1" t="s">
        <v>153</v>
      </c>
      <c r="G618" t="s">
        <v>1435</v>
      </c>
      <c r="J618">
        <v>26000</v>
      </c>
      <c r="M618">
        <v>2.4</v>
      </c>
      <c r="N618" t="s">
        <v>155</v>
      </c>
      <c r="Q618" t="s">
        <v>155</v>
      </c>
      <c r="T618" t="s">
        <v>155</v>
      </c>
      <c r="W618">
        <v>34</v>
      </c>
      <c r="Z618" t="s">
        <v>155</v>
      </c>
      <c r="AC618" t="s">
        <v>155</v>
      </c>
      <c r="AF618">
        <v>26000</v>
      </c>
      <c r="AI618">
        <v>15</v>
      </c>
      <c r="AL618" t="s">
        <v>155</v>
      </c>
      <c r="AO618">
        <v>570</v>
      </c>
      <c r="AR618">
        <v>14</v>
      </c>
      <c r="AU618" t="s">
        <v>155</v>
      </c>
      <c r="AX618" t="s">
        <v>155</v>
      </c>
      <c r="BA618">
        <v>52</v>
      </c>
      <c r="BD618">
        <v>69</v>
      </c>
      <c r="BI618">
        <v>0.16</v>
      </c>
    </row>
    <row r="619" spans="1:61" x14ac:dyDescent="0.2">
      <c r="A619" t="s">
        <v>1432</v>
      </c>
      <c r="B619" t="s">
        <v>1433</v>
      </c>
      <c r="C619" t="s">
        <v>1254</v>
      </c>
      <c r="D619" t="s">
        <v>152</v>
      </c>
      <c r="E619" s="1" t="s">
        <v>8</v>
      </c>
      <c r="F619" s="1" t="s">
        <v>153</v>
      </c>
      <c r="G619" t="s">
        <v>1436</v>
      </c>
      <c r="J619">
        <v>21000</v>
      </c>
      <c r="M619">
        <v>3</v>
      </c>
      <c r="N619" t="s">
        <v>155</v>
      </c>
      <c r="Q619" t="s">
        <v>155</v>
      </c>
      <c r="T619" t="s">
        <v>155</v>
      </c>
      <c r="W619">
        <v>30</v>
      </c>
      <c r="Z619" t="s">
        <v>155</v>
      </c>
      <c r="AC619" t="s">
        <v>155</v>
      </c>
      <c r="AF619">
        <v>23000</v>
      </c>
      <c r="AI619">
        <v>14</v>
      </c>
      <c r="AL619" t="s">
        <v>155</v>
      </c>
      <c r="AO619">
        <v>520</v>
      </c>
      <c r="AS619" s="16">
        <f>(12*1.35)</f>
        <v>16.200000000000003</v>
      </c>
      <c r="AU619" t="s">
        <v>155</v>
      </c>
      <c r="AX619" t="s">
        <v>155</v>
      </c>
      <c r="BA619">
        <v>47</v>
      </c>
      <c r="BD619">
        <v>62</v>
      </c>
      <c r="BI619">
        <v>0.16</v>
      </c>
    </row>
    <row r="620" spans="1:61" x14ac:dyDescent="0.2">
      <c r="A620" t="s">
        <v>1432</v>
      </c>
      <c r="B620" t="s">
        <v>1433</v>
      </c>
      <c r="C620" t="s">
        <v>1254</v>
      </c>
      <c r="D620" t="s">
        <v>152</v>
      </c>
      <c r="E620" s="1" t="s">
        <v>8</v>
      </c>
      <c r="F620" s="1" t="s">
        <v>153</v>
      </c>
      <c r="G620" t="s">
        <v>1437</v>
      </c>
      <c r="J620">
        <v>8500</v>
      </c>
      <c r="M620">
        <v>1.8</v>
      </c>
      <c r="N620" t="s">
        <v>155</v>
      </c>
      <c r="Q620" t="s">
        <v>155</v>
      </c>
      <c r="T620" t="s">
        <v>155</v>
      </c>
      <c r="X620" s="16">
        <f>(25*1.29)</f>
        <v>32.25</v>
      </c>
      <c r="Z620" t="s">
        <v>155</v>
      </c>
      <c r="AC620" t="s">
        <v>155</v>
      </c>
      <c r="AF620">
        <v>13000</v>
      </c>
      <c r="AI620">
        <v>6.8</v>
      </c>
      <c r="AL620" t="s">
        <v>155</v>
      </c>
      <c r="AO620">
        <v>240</v>
      </c>
      <c r="AS620" s="16">
        <f>(7.8*1.35)</f>
        <v>10.530000000000001</v>
      </c>
      <c r="AU620" t="s">
        <v>155</v>
      </c>
      <c r="AX620" t="s">
        <v>155</v>
      </c>
      <c r="BA620">
        <v>31</v>
      </c>
      <c r="BE620" s="16">
        <f>(25*1.5)</f>
        <v>37.5</v>
      </c>
      <c r="BI620">
        <v>0.14000000000000001</v>
      </c>
    </row>
    <row r="621" spans="1:61" x14ac:dyDescent="0.2">
      <c r="A621" t="s">
        <v>1432</v>
      </c>
      <c r="B621" t="s">
        <v>1433</v>
      </c>
      <c r="C621" t="s">
        <v>1254</v>
      </c>
      <c r="D621" t="s">
        <v>152</v>
      </c>
      <c r="E621" s="1" t="s">
        <v>8</v>
      </c>
      <c r="F621" s="1" t="s">
        <v>153</v>
      </c>
      <c r="G621" t="s">
        <v>1438</v>
      </c>
      <c r="J621">
        <v>18000</v>
      </c>
      <c r="M621">
        <v>2.6</v>
      </c>
      <c r="N621" t="s">
        <v>155</v>
      </c>
      <c r="Q621" t="s">
        <v>155</v>
      </c>
      <c r="T621" t="s">
        <v>155</v>
      </c>
      <c r="W621">
        <v>39</v>
      </c>
      <c r="Z621" t="s">
        <v>155</v>
      </c>
      <c r="AC621" t="s">
        <v>155</v>
      </c>
      <c r="AF621">
        <v>23000</v>
      </c>
      <c r="AI621">
        <v>11</v>
      </c>
      <c r="AL621" t="s">
        <v>155</v>
      </c>
      <c r="AO621">
        <v>260</v>
      </c>
      <c r="AR621">
        <v>16</v>
      </c>
      <c r="AU621" t="s">
        <v>155</v>
      </c>
      <c r="AX621" t="s">
        <v>155</v>
      </c>
      <c r="BA621">
        <v>52</v>
      </c>
      <c r="BD621">
        <v>42</v>
      </c>
      <c r="BI621">
        <v>0.17</v>
      </c>
    </row>
    <row r="622" spans="1:61" x14ac:dyDescent="0.2">
      <c r="A622" t="s">
        <v>1432</v>
      </c>
      <c r="B622" t="s">
        <v>1433</v>
      </c>
      <c r="C622" t="s">
        <v>1254</v>
      </c>
      <c r="D622" t="s">
        <v>152</v>
      </c>
      <c r="E622" s="1" t="s">
        <v>8</v>
      </c>
      <c r="F622" s="1" t="s">
        <v>153</v>
      </c>
      <c r="G622" t="s">
        <v>1439</v>
      </c>
      <c r="H622">
        <v>9400</v>
      </c>
      <c r="M622">
        <v>2.1</v>
      </c>
      <c r="N622" t="s">
        <v>155</v>
      </c>
      <c r="Q622" t="s">
        <v>155</v>
      </c>
      <c r="T622" t="s">
        <v>155</v>
      </c>
      <c r="W622">
        <v>16</v>
      </c>
      <c r="Z622" t="s">
        <v>155</v>
      </c>
      <c r="AC622" t="s">
        <v>155</v>
      </c>
      <c r="AF622">
        <v>11000</v>
      </c>
      <c r="AI622">
        <v>4.7</v>
      </c>
      <c r="AL622" t="s">
        <v>155</v>
      </c>
      <c r="AO622">
        <v>360</v>
      </c>
      <c r="AS622" s="16">
        <f>(7.3*1.35)</f>
        <v>9.8550000000000004</v>
      </c>
      <c r="AU622" t="s">
        <v>155</v>
      </c>
      <c r="AX622" t="s">
        <v>155</v>
      </c>
      <c r="BA622">
        <v>22</v>
      </c>
      <c r="BD622">
        <v>20</v>
      </c>
      <c r="BI622">
        <v>0.13</v>
      </c>
    </row>
    <row r="623" spans="1:61" x14ac:dyDescent="0.2">
      <c r="A623" t="s">
        <v>1432</v>
      </c>
      <c r="B623" t="s">
        <v>1433</v>
      </c>
      <c r="C623" t="s">
        <v>1254</v>
      </c>
      <c r="D623" t="s">
        <v>152</v>
      </c>
      <c r="E623" s="1" t="s">
        <v>8</v>
      </c>
      <c r="F623" s="1" t="s">
        <v>153</v>
      </c>
      <c r="G623" t="s">
        <v>1440</v>
      </c>
      <c r="H623">
        <v>34000</v>
      </c>
      <c r="K623">
        <v>4.5</v>
      </c>
      <c r="N623" t="s">
        <v>155</v>
      </c>
      <c r="Q623" t="s">
        <v>155</v>
      </c>
      <c r="T623" t="s">
        <v>155</v>
      </c>
      <c r="W623">
        <v>70</v>
      </c>
      <c r="Z623" t="s">
        <v>155</v>
      </c>
      <c r="AC623" t="s">
        <v>155</v>
      </c>
      <c r="AF623">
        <v>37000</v>
      </c>
      <c r="AI623">
        <v>22</v>
      </c>
      <c r="AL623" t="s">
        <v>155</v>
      </c>
      <c r="AO623">
        <v>950</v>
      </c>
      <c r="AR623">
        <v>32</v>
      </c>
      <c r="AU623" t="s">
        <v>155</v>
      </c>
      <c r="AX623" t="s">
        <v>155</v>
      </c>
      <c r="BA623">
        <v>80</v>
      </c>
      <c r="BD623">
        <v>84</v>
      </c>
      <c r="BI623">
        <v>0.23</v>
      </c>
    </row>
    <row r="624" spans="1:61" x14ac:dyDescent="0.2">
      <c r="A624" t="s">
        <v>1432</v>
      </c>
      <c r="B624" t="s">
        <v>1433</v>
      </c>
      <c r="C624" t="s">
        <v>1254</v>
      </c>
      <c r="D624" t="s">
        <v>152</v>
      </c>
      <c r="E624" s="1" t="s">
        <v>8</v>
      </c>
      <c r="F624" s="1" t="s">
        <v>153</v>
      </c>
      <c r="G624" t="s">
        <v>1441</v>
      </c>
      <c r="H624">
        <v>23000</v>
      </c>
      <c r="M624">
        <v>2.5</v>
      </c>
      <c r="N624" t="s">
        <v>155</v>
      </c>
      <c r="Q624" t="s">
        <v>155</v>
      </c>
      <c r="T624" t="s">
        <v>155</v>
      </c>
      <c r="W624">
        <v>33</v>
      </c>
      <c r="Z624" t="s">
        <v>155</v>
      </c>
      <c r="AC624" t="s">
        <v>155</v>
      </c>
      <c r="AF624">
        <v>30000</v>
      </c>
      <c r="AI624">
        <v>18</v>
      </c>
      <c r="AL624" t="s">
        <v>155</v>
      </c>
      <c r="AO624">
        <v>590</v>
      </c>
      <c r="AS624" s="16">
        <f>(12*1.35)</f>
        <v>16.200000000000003</v>
      </c>
      <c r="AU624" t="s">
        <v>155</v>
      </c>
      <c r="AX624" t="s">
        <v>155</v>
      </c>
      <c r="BA624">
        <v>47</v>
      </c>
      <c r="BD624">
        <v>63</v>
      </c>
      <c r="BI624">
        <v>0.17</v>
      </c>
    </row>
    <row r="625" spans="1:61" x14ac:dyDescent="0.2">
      <c r="A625" t="s">
        <v>1432</v>
      </c>
      <c r="B625" t="s">
        <v>1433</v>
      </c>
      <c r="C625" t="s">
        <v>1254</v>
      </c>
      <c r="D625" t="s">
        <v>152</v>
      </c>
      <c r="E625" s="1" t="s">
        <v>8</v>
      </c>
      <c r="F625" s="1" t="s">
        <v>153</v>
      </c>
      <c r="G625" t="s">
        <v>1442</v>
      </c>
      <c r="H625">
        <v>50000</v>
      </c>
      <c r="M625">
        <v>5</v>
      </c>
      <c r="N625" t="s">
        <v>155</v>
      </c>
      <c r="Q625" t="s">
        <v>155</v>
      </c>
      <c r="T625" t="s">
        <v>155</v>
      </c>
      <c r="W625">
        <v>48</v>
      </c>
      <c r="Z625" t="s">
        <v>155</v>
      </c>
      <c r="AC625" t="s">
        <v>155</v>
      </c>
      <c r="AF625">
        <v>40000</v>
      </c>
      <c r="AI625">
        <v>45</v>
      </c>
      <c r="AL625" t="s">
        <v>155</v>
      </c>
      <c r="AO625">
        <v>760</v>
      </c>
      <c r="AR625">
        <v>24</v>
      </c>
      <c r="AU625" t="s">
        <v>155</v>
      </c>
      <c r="AX625" t="s">
        <v>155</v>
      </c>
      <c r="BA625">
        <v>98</v>
      </c>
      <c r="BD625">
        <v>82</v>
      </c>
      <c r="BI625">
        <v>0.28999999999999998</v>
      </c>
    </row>
    <row r="626" spans="1:61" x14ac:dyDescent="0.2">
      <c r="A626" t="s">
        <v>1432</v>
      </c>
      <c r="B626" t="s">
        <v>1433</v>
      </c>
      <c r="C626" t="s">
        <v>1254</v>
      </c>
      <c r="D626" t="s">
        <v>152</v>
      </c>
      <c r="E626" s="1" t="s">
        <v>8</v>
      </c>
      <c r="F626" s="1" t="s">
        <v>153</v>
      </c>
      <c r="G626" t="s">
        <v>1443</v>
      </c>
      <c r="H626">
        <v>10000</v>
      </c>
      <c r="M626">
        <v>1.9</v>
      </c>
      <c r="N626" t="s">
        <v>155</v>
      </c>
      <c r="Q626" t="s">
        <v>155</v>
      </c>
      <c r="T626" t="s">
        <v>155</v>
      </c>
      <c r="W626">
        <v>52</v>
      </c>
      <c r="Z626" t="s">
        <v>155</v>
      </c>
      <c r="AC626" t="s">
        <v>155</v>
      </c>
      <c r="AF626">
        <v>22000</v>
      </c>
      <c r="AI626">
        <v>7.7</v>
      </c>
      <c r="AL626" t="s">
        <v>155</v>
      </c>
      <c r="AO626">
        <v>820</v>
      </c>
      <c r="AS626" s="16">
        <f>(10*1.35)</f>
        <v>13.5</v>
      </c>
      <c r="AU626" t="s">
        <v>155</v>
      </c>
      <c r="AX626" t="s">
        <v>155</v>
      </c>
      <c r="BA626">
        <v>70</v>
      </c>
      <c r="BD626">
        <v>18</v>
      </c>
      <c r="BI626">
        <v>0.12</v>
      </c>
    </row>
    <row r="627" spans="1:61" x14ac:dyDescent="0.2">
      <c r="A627" t="s">
        <v>1432</v>
      </c>
      <c r="B627" t="s">
        <v>1433</v>
      </c>
      <c r="C627" t="s">
        <v>1254</v>
      </c>
      <c r="D627" t="s">
        <v>152</v>
      </c>
      <c r="E627" s="1" t="s">
        <v>8</v>
      </c>
      <c r="F627" s="1" t="s">
        <v>153</v>
      </c>
      <c r="G627" t="s">
        <v>1444</v>
      </c>
      <c r="H627">
        <v>66000</v>
      </c>
      <c r="K627">
        <v>4.9000000000000004</v>
      </c>
      <c r="N627" t="s">
        <v>155</v>
      </c>
      <c r="Q627" t="s">
        <v>155</v>
      </c>
      <c r="T627" t="s">
        <v>155</v>
      </c>
      <c r="W627">
        <v>62</v>
      </c>
      <c r="Z627" t="s">
        <v>155</v>
      </c>
      <c r="AC627" t="s">
        <v>155</v>
      </c>
      <c r="AF627">
        <v>64000</v>
      </c>
      <c r="AJ627" s="16">
        <f>(46*1.44)</f>
        <v>66.239999999999995</v>
      </c>
      <c r="AL627" t="s">
        <v>155</v>
      </c>
      <c r="AO627">
        <v>490</v>
      </c>
      <c r="AR627">
        <v>30</v>
      </c>
      <c r="AU627" t="s">
        <v>155</v>
      </c>
      <c r="AX627" t="s">
        <v>155</v>
      </c>
      <c r="BA627">
        <v>100</v>
      </c>
      <c r="BD627">
        <v>130</v>
      </c>
      <c r="BI627">
        <v>0.25</v>
      </c>
    </row>
    <row r="628" spans="1:61" x14ac:dyDescent="0.2">
      <c r="A628" s="10" t="s">
        <v>1432</v>
      </c>
      <c r="B628" s="10" t="s">
        <v>1433</v>
      </c>
      <c r="C628" s="10" t="s">
        <v>1254</v>
      </c>
      <c r="D628" s="10" t="s">
        <v>152</v>
      </c>
      <c r="E628" s="11" t="s">
        <v>8</v>
      </c>
      <c r="F628" s="11" t="s">
        <v>140</v>
      </c>
      <c r="G628" s="10" t="s">
        <v>1445</v>
      </c>
      <c r="H628">
        <v>17000</v>
      </c>
      <c r="K628">
        <v>2.6</v>
      </c>
      <c r="N628">
        <v>88</v>
      </c>
      <c r="S628">
        <v>1</v>
      </c>
      <c r="T628">
        <v>440</v>
      </c>
      <c r="W628">
        <v>36</v>
      </c>
      <c r="Z628">
        <v>12</v>
      </c>
      <c r="AC628">
        <v>21</v>
      </c>
      <c r="AF628">
        <v>20000</v>
      </c>
      <c r="AI628">
        <v>27</v>
      </c>
      <c r="AL628">
        <v>2400</v>
      </c>
      <c r="AO628">
        <v>320</v>
      </c>
      <c r="AR628">
        <v>9.1999999999999993</v>
      </c>
      <c r="AU628">
        <v>1800</v>
      </c>
      <c r="AZ628">
        <v>200</v>
      </c>
      <c r="BA628">
        <v>48</v>
      </c>
      <c r="BD628">
        <v>33</v>
      </c>
      <c r="BI628">
        <v>0.05</v>
      </c>
    </row>
    <row r="629" spans="1:61" x14ac:dyDescent="0.2">
      <c r="A629" s="10" t="s">
        <v>1432</v>
      </c>
      <c r="B629" s="10" t="s">
        <v>1433</v>
      </c>
      <c r="C629" s="10" t="s">
        <v>1254</v>
      </c>
      <c r="D629" s="10" t="s">
        <v>152</v>
      </c>
      <c r="E629" s="11" t="s">
        <v>8</v>
      </c>
      <c r="F629" s="11" t="s">
        <v>140</v>
      </c>
      <c r="G629" s="10" t="s">
        <v>1446</v>
      </c>
      <c r="H629">
        <v>16000</v>
      </c>
      <c r="K629">
        <v>2.5</v>
      </c>
      <c r="N629">
        <v>88</v>
      </c>
      <c r="S629">
        <v>1</v>
      </c>
      <c r="T629">
        <v>420</v>
      </c>
      <c r="W629">
        <v>35</v>
      </c>
      <c r="Z629">
        <v>13</v>
      </c>
      <c r="AC629">
        <v>21</v>
      </c>
      <c r="AF629">
        <v>20000</v>
      </c>
      <c r="AI629">
        <v>25</v>
      </c>
      <c r="AL629">
        <v>2400</v>
      </c>
      <c r="AO629">
        <v>340</v>
      </c>
      <c r="AR629">
        <v>9.3000000000000007</v>
      </c>
      <c r="AU629">
        <v>1800</v>
      </c>
      <c r="AZ629">
        <v>200</v>
      </c>
      <c r="BA629">
        <v>48</v>
      </c>
      <c r="BD629">
        <v>33</v>
      </c>
      <c r="BI629">
        <v>0.05</v>
      </c>
    </row>
    <row r="630" spans="1:61" x14ac:dyDescent="0.2">
      <c r="A630" t="s">
        <v>1447</v>
      </c>
      <c r="B630" t="s">
        <v>1448</v>
      </c>
      <c r="C630" t="s">
        <v>128</v>
      </c>
      <c r="D630" t="s">
        <v>129</v>
      </c>
      <c r="E630" s="1" t="s">
        <v>168</v>
      </c>
      <c r="F630" s="1" t="s">
        <v>140</v>
      </c>
      <c r="G630" t="s">
        <v>1449</v>
      </c>
      <c r="H630" t="s">
        <v>155</v>
      </c>
      <c r="M630">
        <v>4</v>
      </c>
      <c r="N630">
        <v>77</v>
      </c>
      <c r="S630">
        <v>31</v>
      </c>
      <c r="T630" t="s">
        <v>155</v>
      </c>
      <c r="Y630">
        <v>77</v>
      </c>
      <c r="Z630" t="s">
        <v>155</v>
      </c>
      <c r="AC630" t="s">
        <v>155</v>
      </c>
      <c r="AF630" t="s">
        <v>155</v>
      </c>
      <c r="AI630">
        <v>85</v>
      </c>
      <c r="AL630" t="s">
        <v>155</v>
      </c>
      <c r="AO630" t="s">
        <v>155</v>
      </c>
      <c r="AR630" t="s">
        <v>155</v>
      </c>
      <c r="AU630" t="s">
        <v>155</v>
      </c>
      <c r="AX630" t="s">
        <v>155</v>
      </c>
      <c r="BA630" t="s">
        <v>155</v>
      </c>
      <c r="BD630" t="s">
        <v>155</v>
      </c>
      <c r="BI630">
        <v>0.09</v>
      </c>
    </row>
    <row r="631" spans="1:61" x14ac:dyDescent="0.2">
      <c r="A631" t="s">
        <v>340</v>
      </c>
      <c r="B631" t="s">
        <v>341</v>
      </c>
      <c r="C631" t="s">
        <v>342</v>
      </c>
      <c r="D631" t="s">
        <v>343</v>
      </c>
      <c r="E631" s="1" t="s">
        <v>168</v>
      </c>
      <c r="F631" s="1" t="s">
        <v>140</v>
      </c>
      <c r="G631" t="s">
        <v>1450</v>
      </c>
      <c r="H631">
        <v>2060</v>
      </c>
      <c r="M631">
        <v>2.0099999999999998</v>
      </c>
      <c r="N631" t="s">
        <v>155</v>
      </c>
      <c r="Q631" t="s">
        <v>155</v>
      </c>
      <c r="T631" t="s">
        <v>155</v>
      </c>
      <c r="W631">
        <v>1.89</v>
      </c>
      <c r="Z631" t="s">
        <v>155</v>
      </c>
      <c r="AC631" t="s">
        <v>155</v>
      </c>
      <c r="AF631">
        <v>925</v>
      </c>
      <c r="AI631" t="s">
        <v>155</v>
      </c>
      <c r="AL631" t="s">
        <v>155</v>
      </c>
      <c r="AO631" t="s">
        <v>155</v>
      </c>
      <c r="AR631" t="s">
        <v>155</v>
      </c>
      <c r="AU631" t="s">
        <v>155</v>
      </c>
      <c r="AX631" t="s">
        <v>155</v>
      </c>
      <c r="BA631">
        <v>2.99</v>
      </c>
      <c r="BD631" t="s">
        <v>155</v>
      </c>
      <c r="BG631" t="s">
        <v>155</v>
      </c>
    </row>
    <row r="632" spans="1:61" x14ac:dyDescent="0.2">
      <c r="A632" t="s">
        <v>340</v>
      </c>
      <c r="B632" t="s">
        <v>341</v>
      </c>
      <c r="C632" t="s">
        <v>342</v>
      </c>
      <c r="D632" t="s">
        <v>343</v>
      </c>
      <c r="E632" s="1" t="s">
        <v>168</v>
      </c>
      <c r="F632" s="1" t="s">
        <v>140</v>
      </c>
      <c r="G632" t="s">
        <v>1451</v>
      </c>
      <c r="H632">
        <v>2800</v>
      </c>
      <c r="M632">
        <v>2.16</v>
      </c>
      <c r="N632" t="s">
        <v>155</v>
      </c>
      <c r="Q632" t="s">
        <v>155</v>
      </c>
      <c r="T632" t="s">
        <v>155</v>
      </c>
      <c r="W632">
        <v>1.88</v>
      </c>
      <c r="Z632" t="s">
        <v>155</v>
      </c>
      <c r="AC632" t="s">
        <v>155</v>
      </c>
      <c r="AF632">
        <v>607</v>
      </c>
      <c r="AI632" t="s">
        <v>155</v>
      </c>
      <c r="AL632" t="s">
        <v>155</v>
      </c>
      <c r="AO632" t="s">
        <v>155</v>
      </c>
      <c r="AR632" t="s">
        <v>155</v>
      </c>
      <c r="AU632" t="s">
        <v>155</v>
      </c>
      <c r="AX632" t="s">
        <v>155</v>
      </c>
      <c r="BA632">
        <v>3.14</v>
      </c>
      <c r="BD632" t="s">
        <v>155</v>
      </c>
      <c r="BG632" t="s">
        <v>155</v>
      </c>
    </row>
    <row r="633" spans="1:61" x14ac:dyDescent="0.2">
      <c r="A633" t="s">
        <v>340</v>
      </c>
      <c r="B633" t="s">
        <v>341</v>
      </c>
      <c r="C633" t="s">
        <v>342</v>
      </c>
      <c r="D633" t="s">
        <v>343</v>
      </c>
      <c r="E633" s="1" t="s">
        <v>168</v>
      </c>
      <c r="F633" s="1" t="s">
        <v>140</v>
      </c>
      <c r="G633" t="s">
        <v>1452</v>
      </c>
      <c r="H633">
        <v>1530</v>
      </c>
      <c r="M633">
        <v>2.0699999999999998</v>
      </c>
      <c r="N633" t="s">
        <v>155</v>
      </c>
      <c r="Q633" t="s">
        <v>155</v>
      </c>
      <c r="T633" t="s">
        <v>155</v>
      </c>
      <c r="X633" s="16">
        <f>(1.24*1.29)</f>
        <v>1.5996000000000001</v>
      </c>
      <c r="Z633" t="s">
        <v>155</v>
      </c>
      <c r="AC633" t="s">
        <v>155</v>
      </c>
      <c r="AF633">
        <v>769</v>
      </c>
      <c r="AI633" t="s">
        <v>155</v>
      </c>
      <c r="AL633" t="s">
        <v>155</v>
      </c>
      <c r="AO633" t="s">
        <v>155</v>
      </c>
      <c r="AR633" t="s">
        <v>155</v>
      </c>
      <c r="AU633" t="s">
        <v>155</v>
      </c>
      <c r="AX633" t="s">
        <v>155</v>
      </c>
      <c r="BA633">
        <v>2.19</v>
      </c>
      <c r="BD633" t="s">
        <v>155</v>
      </c>
      <c r="BG633" t="s">
        <v>155</v>
      </c>
    </row>
    <row r="634" spans="1:61" x14ac:dyDescent="0.2">
      <c r="A634" t="s">
        <v>340</v>
      </c>
      <c r="B634" t="s">
        <v>341</v>
      </c>
      <c r="C634" t="s">
        <v>342</v>
      </c>
      <c r="D634" t="s">
        <v>343</v>
      </c>
      <c r="E634" s="1" t="s">
        <v>168</v>
      </c>
      <c r="F634" s="1" t="s">
        <v>140</v>
      </c>
      <c r="G634" t="s">
        <v>1453</v>
      </c>
      <c r="H634">
        <v>2460</v>
      </c>
      <c r="M634">
        <v>2.0299999999999998</v>
      </c>
      <c r="N634" t="s">
        <v>155</v>
      </c>
      <c r="Q634" t="s">
        <v>155</v>
      </c>
      <c r="T634" t="s">
        <v>155</v>
      </c>
      <c r="W634">
        <v>2.13</v>
      </c>
      <c r="Z634" t="s">
        <v>155</v>
      </c>
      <c r="AC634" t="s">
        <v>155</v>
      </c>
      <c r="AF634">
        <v>1100</v>
      </c>
      <c r="AI634" t="s">
        <v>155</v>
      </c>
      <c r="AL634" t="s">
        <v>155</v>
      </c>
      <c r="AO634" t="s">
        <v>155</v>
      </c>
      <c r="AR634" t="s">
        <v>155</v>
      </c>
      <c r="AU634" t="s">
        <v>155</v>
      </c>
      <c r="AX634" t="s">
        <v>155</v>
      </c>
      <c r="BA634">
        <v>3.54</v>
      </c>
      <c r="BD634" t="s">
        <v>155</v>
      </c>
      <c r="BG634" t="s">
        <v>155</v>
      </c>
    </row>
    <row r="635" spans="1:61" x14ac:dyDescent="0.2">
      <c r="A635" t="s">
        <v>1454</v>
      </c>
      <c r="B635" t="s">
        <v>1455</v>
      </c>
      <c r="C635" t="s">
        <v>1233</v>
      </c>
      <c r="D635" t="s">
        <v>474</v>
      </c>
      <c r="E635" s="1" t="s">
        <v>8</v>
      </c>
      <c r="F635" s="1" t="s">
        <v>140</v>
      </c>
      <c r="G635" t="s">
        <v>1456</v>
      </c>
      <c r="H635" t="s">
        <v>155</v>
      </c>
      <c r="K635">
        <v>4</v>
      </c>
      <c r="N635">
        <v>38</v>
      </c>
      <c r="S635">
        <v>15</v>
      </c>
      <c r="T635" t="s">
        <v>155</v>
      </c>
      <c r="Y635">
        <v>38</v>
      </c>
      <c r="Z635" t="s">
        <v>155</v>
      </c>
      <c r="AC635">
        <v>52</v>
      </c>
      <c r="AF635" t="s">
        <v>155</v>
      </c>
      <c r="AI635">
        <v>37</v>
      </c>
      <c r="AL635" t="s">
        <v>155</v>
      </c>
      <c r="AO635" t="s">
        <v>155</v>
      </c>
      <c r="AR635" t="s">
        <v>155</v>
      </c>
      <c r="AU635" t="s">
        <v>155</v>
      </c>
      <c r="AX635" t="s">
        <v>155</v>
      </c>
      <c r="BA635" t="s">
        <v>155</v>
      </c>
      <c r="BD635" t="s">
        <v>155</v>
      </c>
      <c r="BG635">
        <v>0.08</v>
      </c>
    </row>
    <row r="636" spans="1:61" x14ac:dyDescent="0.2">
      <c r="A636" t="s">
        <v>1454</v>
      </c>
      <c r="B636" t="s">
        <v>1455</v>
      </c>
      <c r="C636" t="s">
        <v>1233</v>
      </c>
      <c r="D636" t="s">
        <v>474</v>
      </c>
      <c r="E636" s="1" t="s">
        <v>8</v>
      </c>
      <c r="F636" s="1" t="s">
        <v>140</v>
      </c>
      <c r="G636" t="s">
        <v>1457</v>
      </c>
      <c r="I636" s="16">
        <f>(15000*1.66)</f>
        <v>24900</v>
      </c>
      <c r="L636" s="16">
        <f>(2.7*1.74)</f>
        <v>4.6980000000000004</v>
      </c>
      <c r="N636">
        <v>82</v>
      </c>
      <c r="Q636" t="s">
        <v>155</v>
      </c>
      <c r="V636">
        <v>610</v>
      </c>
      <c r="X636" s="16">
        <f>(25*1.29)</f>
        <v>32.25</v>
      </c>
      <c r="Z636" t="s">
        <v>155</v>
      </c>
      <c r="AD636" s="16">
        <f>(33*1.22)</f>
        <v>40.26</v>
      </c>
      <c r="AG636" s="16">
        <f>(33000*1.34)</f>
        <v>44220</v>
      </c>
      <c r="AI636">
        <v>26</v>
      </c>
      <c r="AM636" s="16">
        <f>(450*1.23)</f>
        <v>553.5</v>
      </c>
      <c r="AO636">
        <v>440</v>
      </c>
      <c r="AT636">
        <v>4.9000000000000004</v>
      </c>
      <c r="AW636">
        <v>610</v>
      </c>
      <c r="AZ636">
        <v>610</v>
      </c>
      <c r="BB636" s="16">
        <f>(75*1.34)</f>
        <v>100.5</v>
      </c>
      <c r="BD636">
        <v>38</v>
      </c>
      <c r="BG636">
        <v>0.38</v>
      </c>
    </row>
    <row r="637" spans="1:61" x14ac:dyDescent="0.2">
      <c r="A637" t="s">
        <v>1454</v>
      </c>
      <c r="B637" t="s">
        <v>1455</v>
      </c>
      <c r="C637" t="s">
        <v>1233</v>
      </c>
      <c r="D637" t="s">
        <v>474</v>
      </c>
      <c r="E637" s="1" t="s">
        <v>8</v>
      </c>
      <c r="F637" s="1" t="s">
        <v>140</v>
      </c>
      <c r="G637" t="s">
        <v>1458</v>
      </c>
      <c r="I637" s="16">
        <f>(14000*1.66)</f>
        <v>23240</v>
      </c>
      <c r="L637" s="16">
        <f>(2.5*1.74)</f>
        <v>4.3499999999999996</v>
      </c>
      <c r="N637">
        <v>75</v>
      </c>
      <c r="Q637" t="s">
        <v>155</v>
      </c>
      <c r="V637">
        <v>570</v>
      </c>
      <c r="X637" s="16">
        <f>(19*1.29)</f>
        <v>24.51</v>
      </c>
      <c r="Z637" t="s">
        <v>155</v>
      </c>
      <c r="AD637" s="16">
        <f>(27*1.22)</f>
        <v>32.94</v>
      </c>
      <c r="AG637" s="16">
        <f>(30000*1.34)</f>
        <v>40200</v>
      </c>
      <c r="AI637">
        <v>21</v>
      </c>
      <c r="AN637">
        <v>570</v>
      </c>
      <c r="AO637">
        <v>410</v>
      </c>
      <c r="AT637">
        <v>4.5999999999999996</v>
      </c>
      <c r="AW637">
        <v>570</v>
      </c>
      <c r="AZ637">
        <v>570</v>
      </c>
      <c r="BB637" s="16">
        <f>(64*1.34)</f>
        <v>85.76</v>
      </c>
      <c r="BD637">
        <v>34</v>
      </c>
      <c r="BG637">
        <v>0.28999999999999998</v>
      </c>
    </row>
    <row r="638" spans="1:61" x14ac:dyDescent="0.2">
      <c r="A638" t="s">
        <v>1454</v>
      </c>
      <c r="B638" t="s">
        <v>1455</v>
      </c>
      <c r="C638" t="s">
        <v>1233</v>
      </c>
      <c r="D638" t="s">
        <v>474</v>
      </c>
      <c r="E638" s="1" t="s">
        <v>8</v>
      </c>
      <c r="F638" s="1" t="s">
        <v>140</v>
      </c>
      <c r="G638" t="s">
        <v>1459</v>
      </c>
      <c r="I638" s="16">
        <f>(36000*1.66)</f>
        <v>59760</v>
      </c>
      <c r="L638" s="16">
        <f>(4.2*1.74)</f>
        <v>7.3079999999999998</v>
      </c>
      <c r="N638">
        <v>35</v>
      </c>
      <c r="Q638" t="s">
        <v>155</v>
      </c>
      <c r="V638">
        <v>650</v>
      </c>
      <c r="X638" s="16">
        <f>(38*1.29)</f>
        <v>49.02</v>
      </c>
      <c r="Z638" t="s">
        <v>155</v>
      </c>
      <c r="AD638" s="16">
        <f>(76*1.22)</f>
        <v>92.72</v>
      </c>
      <c r="AG638" s="16">
        <f>(80000*1.34)</f>
        <v>107200</v>
      </c>
      <c r="AI638">
        <v>21</v>
      </c>
      <c r="AN638">
        <v>650</v>
      </c>
      <c r="AO638">
        <v>220</v>
      </c>
      <c r="AR638">
        <v>6.9</v>
      </c>
      <c r="AW638">
        <v>650</v>
      </c>
      <c r="AZ638">
        <v>650</v>
      </c>
      <c r="BB638" s="16">
        <f>(190*1.34)</f>
        <v>254.60000000000002</v>
      </c>
      <c r="BD638">
        <v>30</v>
      </c>
      <c r="BI638">
        <v>0.13</v>
      </c>
    </row>
    <row r="639" spans="1:61" x14ac:dyDescent="0.2">
      <c r="A639" t="s">
        <v>1454</v>
      </c>
      <c r="B639" t="s">
        <v>1455</v>
      </c>
      <c r="C639" t="s">
        <v>1233</v>
      </c>
      <c r="D639" t="s">
        <v>474</v>
      </c>
      <c r="E639" s="1" t="s">
        <v>8</v>
      </c>
      <c r="F639" s="1" t="s">
        <v>153</v>
      </c>
      <c r="G639" t="s">
        <v>1460</v>
      </c>
      <c r="I639" s="16">
        <f>(3700*1.66)</f>
        <v>6142</v>
      </c>
      <c r="L639" s="16">
        <f>(1.2*1.74)</f>
        <v>2.0880000000000001</v>
      </c>
      <c r="N639">
        <v>30</v>
      </c>
      <c r="Q639" t="s">
        <v>155</v>
      </c>
      <c r="V639">
        <v>690</v>
      </c>
      <c r="X639" s="16">
        <f>(8.5*1.29)</f>
        <v>10.965</v>
      </c>
      <c r="Z639" t="s">
        <v>155</v>
      </c>
      <c r="AD639" s="16">
        <f>(2.1*1.22)</f>
        <v>2.5619999999999998</v>
      </c>
      <c r="AG639" s="16">
        <f>(5300*1.34)</f>
        <v>7102</v>
      </c>
      <c r="AJ639" s="16">
        <f>(2.5*1.44)</f>
        <v>3.5999999999999996</v>
      </c>
      <c r="AM639" s="16">
        <f>(600*1.23)</f>
        <v>738</v>
      </c>
      <c r="AO639">
        <v>250</v>
      </c>
      <c r="AT639">
        <v>5.5</v>
      </c>
      <c r="AW639">
        <v>690</v>
      </c>
      <c r="AZ639">
        <v>690</v>
      </c>
      <c r="BB639" s="16">
        <f>(10*1.34)</f>
        <v>13.4</v>
      </c>
      <c r="BD639">
        <v>12</v>
      </c>
      <c r="BI639">
        <v>0.14000000000000001</v>
      </c>
    </row>
    <row r="640" spans="1:61" x14ac:dyDescent="0.2">
      <c r="A640" t="s">
        <v>1454</v>
      </c>
      <c r="B640" t="s">
        <v>1455</v>
      </c>
      <c r="C640" t="s">
        <v>1233</v>
      </c>
      <c r="D640" t="s">
        <v>474</v>
      </c>
      <c r="E640" s="1" t="s">
        <v>8</v>
      </c>
      <c r="F640" s="1" t="s">
        <v>153</v>
      </c>
      <c r="G640" t="s">
        <v>1461</v>
      </c>
      <c r="H640">
        <v>5000</v>
      </c>
      <c r="L640" s="16">
        <f>(1.3*1.74)</f>
        <v>2.262</v>
      </c>
      <c r="N640">
        <v>44</v>
      </c>
      <c r="Q640" s="13"/>
      <c r="T640" t="s">
        <v>155</v>
      </c>
      <c r="W640">
        <v>11</v>
      </c>
      <c r="Z640" t="s">
        <v>155</v>
      </c>
      <c r="AC640">
        <v>5.3</v>
      </c>
      <c r="AF640">
        <v>8500</v>
      </c>
      <c r="AJ640" s="16">
        <f>(7.2*1.44)</f>
        <v>10.368</v>
      </c>
      <c r="AL640">
        <v>1800</v>
      </c>
      <c r="AO640">
        <v>150</v>
      </c>
      <c r="AR640" t="s">
        <v>155</v>
      </c>
      <c r="AU640">
        <v>990</v>
      </c>
      <c r="AX640" t="s">
        <v>155</v>
      </c>
      <c r="BA640">
        <v>20</v>
      </c>
      <c r="BD640">
        <v>23</v>
      </c>
      <c r="BG640" t="s">
        <v>155</v>
      </c>
    </row>
    <row r="641" spans="1:61" x14ac:dyDescent="0.2">
      <c r="A641" t="s">
        <v>364</v>
      </c>
      <c r="B641" t="s">
        <v>1462</v>
      </c>
      <c r="C641" t="s">
        <v>366</v>
      </c>
      <c r="D641" t="s">
        <v>367</v>
      </c>
      <c r="E641" s="1" t="s">
        <v>168</v>
      </c>
      <c r="F641" s="1" t="s">
        <v>140</v>
      </c>
      <c r="G641" t="s">
        <v>1463</v>
      </c>
      <c r="H641" t="s">
        <v>155</v>
      </c>
      <c r="K641" t="s">
        <v>155</v>
      </c>
      <c r="N641" t="s">
        <v>155</v>
      </c>
      <c r="Q641" t="s">
        <v>155</v>
      </c>
      <c r="T641" t="s">
        <v>155</v>
      </c>
      <c r="X641" s="16">
        <f>(14*1.29)</f>
        <v>18.060000000000002</v>
      </c>
      <c r="Z641" t="s">
        <v>155</v>
      </c>
      <c r="AC641" t="s">
        <v>155</v>
      </c>
      <c r="AF641" t="s">
        <v>155</v>
      </c>
      <c r="AI641">
        <v>12</v>
      </c>
      <c r="AL641" t="s">
        <v>155</v>
      </c>
      <c r="AO641" t="s">
        <v>155</v>
      </c>
      <c r="AT641">
        <v>2</v>
      </c>
      <c r="AU641" t="s">
        <v>155</v>
      </c>
      <c r="AX641" t="s">
        <v>155</v>
      </c>
      <c r="BA641" t="s">
        <v>155</v>
      </c>
      <c r="BD641">
        <v>17</v>
      </c>
      <c r="BG641" t="s">
        <v>155</v>
      </c>
    </row>
    <row r="642" spans="1:61" x14ac:dyDescent="0.2">
      <c r="A642" t="s">
        <v>364</v>
      </c>
      <c r="B642" t="s">
        <v>1462</v>
      </c>
      <c r="C642" t="s">
        <v>366</v>
      </c>
      <c r="D642" t="s">
        <v>367</v>
      </c>
      <c r="E642" s="1" t="s">
        <v>168</v>
      </c>
      <c r="F642" s="1" t="s">
        <v>141</v>
      </c>
      <c r="G642" t="s">
        <v>1464</v>
      </c>
      <c r="H642" t="s">
        <v>155</v>
      </c>
      <c r="K642" t="s">
        <v>155</v>
      </c>
      <c r="N642" t="s">
        <v>155</v>
      </c>
      <c r="Q642" t="s">
        <v>155</v>
      </c>
      <c r="T642" t="s">
        <v>155</v>
      </c>
      <c r="X642" s="16">
        <f>(24*1.29)</f>
        <v>30.96</v>
      </c>
      <c r="Z642" t="s">
        <v>155</v>
      </c>
      <c r="AC642" t="s">
        <v>155</v>
      </c>
      <c r="AF642" t="s">
        <v>155</v>
      </c>
      <c r="AI642">
        <v>7.3</v>
      </c>
      <c r="AL642" t="s">
        <v>155</v>
      </c>
      <c r="AO642" t="s">
        <v>155</v>
      </c>
      <c r="AT642">
        <v>3</v>
      </c>
      <c r="AU642" t="s">
        <v>155</v>
      </c>
      <c r="AX642" t="s">
        <v>155</v>
      </c>
      <c r="BA642" t="s">
        <v>155</v>
      </c>
      <c r="BD642">
        <v>7</v>
      </c>
      <c r="BG642" t="s">
        <v>155</v>
      </c>
    </row>
    <row r="643" spans="1:61" x14ac:dyDescent="0.2">
      <c r="A643" t="s">
        <v>1465</v>
      </c>
      <c r="B643" t="s">
        <v>1466</v>
      </c>
      <c r="C643" t="s">
        <v>1467</v>
      </c>
      <c r="D643" t="s">
        <v>491</v>
      </c>
      <c r="E643" s="1" t="s">
        <v>168</v>
      </c>
      <c r="F643" s="1" t="s">
        <v>141</v>
      </c>
      <c r="G643" t="s">
        <v>860</v>
      </c>
      <c r="H643">
        <v>17000</v>
      </c>
      <c r="K643" t="s">
        <v>155</v>
      </c>
      <c r="N643" t="s">
        <v>155</v>
      </c>
      <c r="Q643">
        <v>10.8</v>
      </c>
      <c r="T643" t="s">
        <v>155</v>
      </c>
      <c r="W643">
        <v>116</v>
      </c>
      <c r="Z643">
        <v>88.7</v>
      </c>
      <c r="AC643">
        <v>80.2</v>
      </c>
      <c r="AF643">
        <v>59900</v>
      </c>
      <c r="AI643">
        <v>58.6</v>
      </c>
      <c r="AL643" t="s">
        <v>155</v>
      </c>
      <c r="AO643">
        <v>1650</v>
      </c>
      <c r="AR643">
        <v>88.6</v>
      </c>
      <c r="AU643" t="s">
        <v>155</v>
      </c>
      <c r="AX643" t="s">
        <v>155</v>
      </c>
      <c r="BA643">
        <v>181</v>
      </c>
      <c r="BD643">
        <v>34.9</v>
      </c>
      <c r="BG643" t="s">
        <v>155</v>
      </c>
    </row>
    <row r="644" spans="1:61" x14ac:dyDescent="0.2">
      <c r="A644" t="s">
        <v>1465</v>
      </c>
      <c r="B644" t="s">
        <v>1466</v>
      </c>
      <c r="C644" t="s">
        <v>1467</v>
      </c>
      <c r="D644" t="s">
        <v>491</v>
      </c>
      <c r="E644" s="1" t="s">
        <v>168</v>
      </c>
      <c r="F644" s="1" t="s">
        <v>140</v>
      </c>
      <c r="G644" t="s">
        <v>1468</v>
      </c>
      <c r="H644">
        <v>15100</v>
      </c>
      <c r="K644" t="s">
        <v>155</v>
      </c>
      <c r="N644" t="s">
        <v>155</v>
      </c>
      <c r="Q644">
        <v>2.4</v>
      </c>
      <c r="T644" t="s">
        <v>155</v>
      </c>
      <c r="W644">
        <v>29.2</v>
      </c>
      <c r="Z644" t="s">
        <v>155</v>
      </c>
      <c r="AC644">
        <v>11.6</v>
      </c>
      <c r="AF644">
        <v>16700</v>
      </c>
      <c r="AI644">
        <v>12.5</v>
      </c>
      <c r="AL644" t="s">
        <v>155</v>
      </c>
      <c r="AO644">
        <v>58.9</v>
      </c>
      <c r="AR644" t="s">
        <v>155</v>
      </c>
      <c r="AU644" t="s">
        <v>155</v>
      </c>
      <c r="AX644" t="s">
        <v>155</v>
      </c>
      <c r="BA644">
        <v>46.3</v>
      </c>
      <c r="BD644">
        <v>7.5</v>
      </c>
      <c r="BG644" t="s">
        <v>155</v>
      </c>
    </row>
    <row r="645" spans="1:61" ht="16" x14ac:dyDescent="0.2">
      <c r="A645" s="25" t="s">
        <v>1469</v>
      </c>
      <c r="B645" t="s">
        <v>1470</v>
      </c>
      <c r="C645" t="s">
        <v>1471</v>
      </c>
      <c r="D645" t="s">
        <v>474</v>
      </c>
      <c r="E645" s="1" t="s">
        <v>8</v>
      </c>
      <c r="F645" s="1" t="s">
        <v>153</v>
      </c>
      <c r="G645" t="s">
        <v>1472</v>
      </c>
      <c r="H645" t="s">
        <v>155</v>
      </c>
      <c r="M645">
        <v>4</v>
      </c>
      <c r="N645">
        <v>80</v>
      </c>
      <c r="S645">
        <v>10</v>
      </c>
      <c r="T645" t="s">
        <v>155</v>
      </c>
      <c r="W645">
        <v>26</v>
      </c>
      <c r="Z645" t="s">
        <v>155</v>
      </c>
      <c r="AE645">
        <v>10</v>
      </c>
      <c r="AF645" t="s">
        <v>155</v>
      </c>
      <c r="AK645">
        <v>10</v>
      </c>
      <c r="AL645" t="s">
        <v>155</v>
      </c>
      <c r="AO645">
        <v>120</v>
      </c>
      <c r="AR645" t="s">
        <v>155</v>
      </c>
      <c r="AU645" t="s">
        <v>155</v>
      </c>
      <c r="AX645" t="s">
        <v>155</v>
      </c>
      <c r="BA645" t="s">
        <v>155</v>
      </c>
      <c r="BD645">
        <v>30</v>
      </c>
      <c r="BI645">
        <v>0.09</v>
      </c>
    </row>
    <row r="646" spans="1:61" ht="16" x14ac:dyDescent="0.2">
      <c r="A646" s="25" t="s">
        <v>1469</v>
      </c>
      <c r="B646" t="s">
        <v>1470</v>
      </c>
      <c r="C646" t="s">
        <v>1471</v>
      </c>
      <c r="D646" t="s">
        <v>474</v>
      </c>
      <c r="E646" s="1" t="s">
        <v>8</v>
      </c>
      <c r="F646" s="1" t="s">
        <v>153</v>
      </c>
      <c r="G646" t="s">
        <v>1473</v>
      </c>
      <c r="H646" t="s">
        <v>155</v>
      </c>
      <c r="M646">
        <v>4</v>
      </c>
      <c r="N646">
        <v>80</v>
      </c>
      <c r="S646">
        <v>10</v>
      </c>
      <c r="T646" t="s">
        <v>155</v>
      </c>
      <c r="W646">
        <v>50</v>
      </c>
      <c r="Z646" t="s">
        <v>155</v>
      </c>
      <c r="AE646">
        <v>10</v>
      </c>
      <c r="AF646" t="s">
        <v>155</v>
      </c>
      <c r="AK646">
        <v>10</v>
      </c>
      <c r="AL646" t="s">
        <v>155</v>
      </c>
      <c r="AO646">
        <v>240</v>
      </c>
      <c r="AR646" t="s">
        <v>155</v>
      </c>
      <c r="AU646" t="s">
        <v>155</v>
      </c>
      <c r="AX646" t="s">
        <v>155</v>
      </c>
      <c r="BA646" t="s">
        <v>155</v>
      </c>
      <c r="BD646">
        <v>34</v>
      </c>
      <c r="BI646">
        <v>0.09</v>
      </c>
    </row>
    <row r="647" spans="1:61" ht="16" x14ac:dyDescent="0.2">
      <c r="A647" s="25" t="s">
        <v>1469</v>
      </c>
      <c r="B647" t="s">
        <v>1470</v>
      </c>
      <c r="C647" t="s">
        <v>1471</v>
      </c>
      <c r="D647" t="s">
        <v>474</v>
      </c>
      <c r="E647" s="1" t="s">
        <v>8</v>
      </c>
      <c r="F647" s="1" t="s">
        <v>153</v>
      </c>
      <c r="G647" t="s">
        <v>1474</v>
      </c>
      <c r="H647" t="s">
        <v>155</v>
      </c>
      <c r="K647">
        <v>6</v>
      </c>
      <c r="N647">
        <v>80</v>
      </c>
      <c r="S647">
        <v>10</v>
      </c>
      <c r="T647" t="s">
        <v>155</v>
      </c>
      <c r="W647">
        <v>62</v>
      </c>
      <c r="Z647" t="s">
        <v>155</v>
      </c>
      <c r="AC647">
        <v>14</v>
      </c>
      <c r="AF647" t="s">
        <v>155</v>
      </c>
      <c r="AI647">
        <v>14</v>
      </c>
      <c r="AL647" t="s">
        <v>155</v>
      </c>
      <c r="AO647">
        <v>140</v>
      </c>
      <c r="AR647" t="s">
        <v>155</v>
      </c>
      <c r="AU647" t="s">
        <v>155</v>
      </c>
      <c r="AX647" t="s">
        <v>155</v>
      </c>
      <c r="BA647" t="s">
        <v>155</v>
      </c>
      <c r="BD647">
        <v>68</v>
      </c>
      <c r="BI647">
        <v>0.09</v>
      </c>
    </row>
    <row r="648" spans="1:61" ht="16" x14ac:dyDescent="0.2">
      <c r="A648" s="25" t="s">
        <v>1469</v>
      </c>
      <c r="B648" t="s">
        <v>1470</v>
      </c>
      <c r="C648" t="s">
        <v>1471</v>
      </c>
      <c r="D648" t="s">
        <v>474</v>
      </c>
      <c r="E648" s="1" t="s">
        <v>8</v>
      </c>
      <c r="F648" s="1" t="s">
        <v>153</v>
      </c>
      <c r="G648" t="s">
        <v>1475</v>
      </c>
      <c r="H648" t="s">
        <v>155</v>
      </c>
      <c r="K648">
        <v>3.9</v>
      </c>
      <c r="N648">
        <v>220</v>
      </c>
      <c r="S648">
        <v>9.8000000000000007</v>
      </c>
      <c r="T648" t="s">
        <v>155</v>
      </c>
      <c r="W648">
        <v>67</v>
      </c>
      <c r="Z648" t="s">
        <v>155</v>
      </c>
      <c r="AC648">
        <v>29</v>
      </c>
      <c r="AF648" t="s">
        <v>155</v>
      </c>
      <c r="AI648">
        <v>61</v>
      </c>
      <c r="AL648" t="s">
        <v>155</v>
      </c>
      <c r="AO648">
        <v>170</v>
      </c>
      <c r="AR648" t="s">
        <v>155</v>
      </c>
      <c r="AU648" t="s">
        <v>155</v>
      </c>
      <c r="AX648" t="s">
        <v>155</v>
      </c>
      <c r="BA648" t="s">
        <v>155</v>
      </c>
      <c r="BD648">
        <v>120</v>
      </c>
      <c r="BI648">
        <v>0.09</v>
      </c>
    </row>
    <row r="649" spans="1:61" ht="16" x14ac:dyDescent="0.2">
      <c r="A649" s="25" t="s">
        <v>1469</v>
      </c>
      <c r="B649" t="s">
        <v>1470</v>
      </c>
      <c r="C649" t="s">
        <v>1471</v>
      </c>
      <c r="D649" t="s">
        <v>474</v>
      </c>
      <c r="E649" s="1" t="s">
        <v>8</v>
      </c>
      <c r="F649" s="1" t="s">
        <v>153</v>
      </c>
      <c r="G649" t="s">
        <v>1476</v>
      </c>
      <c r="H649" t="s">
        <v>155</v>
      </c>
      <c r="M649">
        <v>3.9</v>
      </c>
      <c r="N649">
        <v>59</v>
      </c>
      <c r="S649">
        <v>9.8000000000000007</v>
      </c>
      <c r="T649" t="s">
        <v>155</v>
      </c>
      <c r="W649">
        <v>69</v>
      </c>
      <c r="Z649" t="s">
        <v>155</v>
      </c>
      <c r="AC649">
        <v>27</v>
      </c>
      <c r="AF649" t="s">
        <v>155</v>
      </c>
      <c r="AI649">
        <v>27</v>
      </c>
      <c r="AL649" t="s">
        <v>155</v>
      </c>
      <c r="AO649">
        <v>210</v>
      </c>
      <c r="AR649" t="s">
        <v>155</v>
      </c>
      <c r="AU649" t="s">
        <v>155</v>
      </c>
      <c r="AX649" t="s">
        <v>155</v>
      </c>
      <c r="BA649" t="s">
        <v>155</v>
      </c>
      <c r="BD649">
        <v>61</v>
      </c>
      <c r="BI649">
        <v>0.09</v>
      </c>
    </row>
    <row r="650" spans="1:61" x14ac:dyDescent="0.2">
      <c r="A650" s="10" t="s">
        <v>1477</v>
      </c>
      <c r="B650" s="10" t="s">
        <v>1478</v>
      </c>
      <c r="C650" s="10" t="s">
        <v>584</v>
      </c>
      <c r="D650" s="10" t="s">
        <v>532</v>
      </c>
      <c r="E650" s="11" t="s">
        <v>8</v>
      </c>
      <c r="F650" s="11" t="s">
        <v>153</v>
      </c>
      <c r="G650" s="10" t="s">
        <v>1479</v>
      </c>
      <c r="H650">
        <v>2950</v>
      </c>
      <c r="K650">
        <v>3.8</v>
      </c>
      <c r="N650">
        <v>25</v>
      </c>
      <c r="S650">
        <v>0.2</v>
      </c>
      <c r="T650">
        <v>752</v>
      </c>
      <c r="W650">
        <v>36</v>
      </c>
      <c r="Z650">
        <v>9.3000000000000007</v>
      </c>
      <c r="AC650">
        <v>8.3000000000000007</v>
      </c>
      <c r="AF650">
        <v>15600</v>
      </c>
      <c r="AI650">
        <v>7.1</v>
      </c>
      <c r="AL650">
        <v>466</v>
      </c>
      <c r="AO650">
        <v>285</v>
      </c>
      <c r="AT650">
        <v>2</v>
      </c>
      <c r="AU650">
        <v>127</v>
      </c>
      <c r="AX650">
        <v>186</v>
      </c>
      <c r="BA650">
        <v>66</v>
      </c>
      <c r="BD650">
        <v>22</v>
      </c>
      <c r="BI650">
        <v>0.02</v>
      </c>
    </row>
    <row r="651" spans="1:61" x14ac:dyDescent="0.2">
      <c r="A651" s="10" t="s">
        <v>1477</v>
      </c>
      <c r="B651" s="10" t="s">
        <v>1478</v>
      </c>
      <c r="C651" s="10" t="s">
        <v>584</v>
      </c>
      <c r="D651" s="10" t="s">
        <v>532</v>
      </c>
      <c r="E651" s="11" t="s">
        <v>8</v>
      </c>
      <c r="F651" s="11" t="s">
        <v>153</v>
      </c>
      <c r="G651" s="10" t="s">
        <v>1480</v>
      </c>
      <c r="H651">
        <v>1560</v>
      </c>
      <c r="K651">
        <v>0.6</v>
      </c>
      <c r="N651">
        <v>21.6</v>
      </c>
      <c r="S651">
        <v>1</v>
      </c>
      <c r="T651">
        <v>302</v>
      </c>
      <c r="W651">
        <v>15</v>
      </c>
      <c r="AB651">
        <v>5</v>
      </c>
      <c r="AC651">
        <v>6.4</v>
      </c>
      <c r="AF651">
        <v>7070</v>
      </c>
      <c r="AI651">
        <v>5.9</v>
      </c>
      <c r="AL651">
        <v>297</v>
      </c>
      <c r="AO651">
        <v>126</v>
      </c>
      <c r="AT651">
        <v>5</v>
      </c>
      <c r="AW651">
        <v>257</v>
      </c>
      <c r="AZ651">
        <v>257</v>
      </c>
      <c r="BA651">
        <v>20.6</v>
      </c>
      <c r="BD651">
        <v>11.6</v>
      </c>
      <c r="BI651">
        <v>0.05</v>
      </c>
    </row>
    <row r="652" spans="1:61" ht="16" x14ac:dyDescent="0.2">
      <c r="A652" s="25" t="s">
        <v>1481</v>
      </c>
      <c r="B652" t="s">
        <v>1482</v>
      </c>
      <c r="C652" t="s">
        <v>1483</v>
      </c>
      <c r="D652" t="s">
        <v>474</v>
      </c>
      <c r="E652" s="1" t="s">
        <v>8</v>
      </c>
      <c r="F652" s="1" t="s">
        <v>153</v>
      </c>
      <c r="G652" t="s">
        <v>1484</v>
      </c>
      <c r="H652">
        <v>1000</v>
      </c>
      <c r="M652">
        <v>0.52</v>
      </c>
      <c r="N652">
        <v>11</v>
      </c>
      <c r="S652">
        <v>1</v>
      </c>
      <c r="V652">
        <v>140</v>
      </c>
      <c r="W652">
        <v>5.7</v>
      </c>
      <c r="AA652" s="16">
        <f>(1.8*1.25)</f>
        <v>2.25</v>
      </c>
      <c r="AE652">
        <v>1</v>
      </c>
      <c r="AF652">
        <v>1800</v>
      </c>
      <c r="AI652">
        <v>1.3</v>
      </c>
      <c r="AN652">
        <v>160</v>
      </c>
      <c r="AP652" s="16">
        <f>(150*1.24)</f>
        <v>186</v>
      </c>
      <c r="AT652">
        <v>6</v>
      </c>
      <c r="AV652" s="16">
        <f>(220*17.49)</f>
        <v>3847.7999999999997</v>
      </c>
      <c r="AX652">
        <v>48</v>
      </c>
      <c r="BC652">
        <v>4</v>
      </c>
      <c r="BD652">
        <v>14</v>
      </c>
      <c r="BI652">
        <v>0.13</v>
      </c>
    </row>
    <row r="653" spans="1:61" ht="16" x14ac:dyDescent="0.2">
      <c r="A653" s="25" t="s">
        <v>1481</v>
      </c>
      <c r="B653" t="s">
        <v>1482</v>
      </c>
      <c r="C653" t="s">
        <v>1483</v>
      </c>
      <c r="D653" t="s">
        <v>474</v>
      </c>
      <c r="E653" s="1" t="s">
        <v>8</v>
      </c>
      <c r="F653" s="1" t="s">
        <v>153</v>
      </c>
      <c r="G653" t="s">
        <v>1485</v>
      </c>
      <c r="H653">
        <v>16000</v>
      </c>
      <c r="M653">
        <v>0.99</v>
      </c>
      <c r="N653">
        <v>61</v>
      </c>
      <c r="Q653">
        <v>270</v>
      </c>
      <c r="T653">
        <v>270</v>
      </c>
      <c r="W653">
        <v>19</v>
      </c>
      <c r="Z653">
        <v>32</v>
      </c>
      <c r="AD653" s="16">
        <f>(86*1.22)</f>
        <v>104.92</v>
      </c>
      <c r="AF653">
        <v>44000</v>
      </c>
      <c r="AI653">
        <v>5</v>
      </c>
      <c r="AL653">
        <v>420</v>
      </c>
      <c r="AO653">
        <v>1300</v>
      </c>
      <c r="AR653">
        <v>13</v>
      </c>
      <c r="AU653">
        <v>200</v>
      </c>
      <c r="AZ653">
        <v>140</v>
      </c>
      <c r="BA653">
        <v>140</v>
      </c>
      <c r="BE653" s="16">
        <f>(27*1.5)</f>
        <v>40.5</v>
      </c>
      <c r="BI653">
        <v>0.06</v>
      </c>
    </row>
    <row r="654" spans="1:61" x14ac:dyDescent="0.2">
      <c r="A654" t="s">
        <v>1486</v>
      </c>
      <c r="B654" t="s">
        <v>1487</v>
      </c>
      <c r="C654" t="s">
        <v>478</v>
      </c>
      <c r="D654" t="s">
        <v>479</v>
      </c>
      <c r="F654" s="1" t="s">
        <v>153</v>
      </c>
      <c r="G654" t="s">
        <v>1488</v>
      </c>
      <c r="H654" t="s">
        <v>155</v>
      </c>
      <c r="K654">
        <v>1.9</v>
      </c>
      <c r="N654">
        <v>51</v>
      </c>
      <c r="S654">
        <v>9.8000000000000007</v>
      </c>
      <c r="T654" t="s">
        <v>155</v>
      </c>
      <c r="W654">
        <v>21</v>
      </c>
      <c r="Z654" t="s">
        <v>155</v>
      </c>
      <c r="AC654" t="s">
        <v>155</v>
      </c>
      <c r="AF654" t="s">
        <v>155</v>
      </c>
      <c r="AK654">
        <v>20</v>
      </c>
      <c r="AL654" t="s">
        <v>155</v>
      </c>
      <c r="AO654" t="s">
        <v>155</v>
      </c>
      <c r="AR654" t="s">
        <v>155</v>
      </c>
      <c r="AU654" t="s">
        <v>155</v>
      </c>
      <c r="AX654" t="s">
        <v>155</v>
      </c>
      <c r="BA654" t="s">
        <v>155</v>
      </c>
      <c r="BD654" t="s">
        <v>155</v>
      </c>
      <c r="BI654">
        <v>0.09</v>
      </c>
    </row>
    <row r="655" spans="1:61" x14ac:dyDescent="0.2">
      <c r="A655" t="s">
        <v>1486</v>
      </c>
      <c r="B655" t="s">
        <v>1487</v>
      </c>
      <c r="C655" t="s">
        <v>478</v>
      </c>
      <c r="D655" t="s">
        <v>479</v>
      </c>
      <c r="F655" s="1" t="s">
        <v>153</v>
      </c>
      <c r="G655" t="s">
        <v>1489</v>
      </c>
      <c r="H655" t="s">
        <v>155</v>
      </c>
      <c r="K655">
        <v>1.9</v>
      </c>
      <c r="N655">
        <v>75</v>
      </c>
      <c r="S655">
        <v>9.8000000000000007</v>
      </c>
      <c r="T655" t="s">
        <v>155</v>
      </c>
      <c r="W655">
        <v>24</v>
      </c>
      <c r="Z655" t="s">
        <v>155</v>
      </c>
      <c r="AC655" t="s">
        <v>155</v>
      </c>
      <c r="AF655" t="s">
        <v>155</v>
      </c>
      <c r="AK655">
        <v>20</v>
      </c>
      <c r="AL655" t="s">
        <v>155</v>
      </c>
      <c r="AO655" t="s">
        <v>155</v>
      </c>
      <c r="AR655" t="s">
        <v>155</v>
      </c>
      <c r="AU655" t="s">
        <v>155</v>
      </c>
      <c r="AX655" t="s">
        <v>155</v>
      </c>
      <c r="BA655" t="s">
        <v>155</v>
      </c>
      <c r="BD655" t="s">
        <v>155</v>
      </c>
      <c r="BI655">
        <v>0.09</v>
      </c>
    </row>
    <row r="656" spans="1:61" x14ac:dyDescent="0.2">
      <c r="A656" s="10" t="s">
        <v>1490</v>
      </c>
      <c r="B656" s="10" t="s">
        <v>1491</v>
      </c>
      <c r="C656" s="10" t="s">
        <v>291</v>
      </c>
      <c r="D656" s="10" t="s">
        <v>292</v>
      </c>
      <c r="E656" s="11" t="s">
        <v>8</v>
      </c>
      <c r="F656" s="11" t="s">
        <v>153</v>
      </c>
      <c r="G656" s="10" t="s">
        <v>1492</v>
      </c>
      <c r="H656">
        <v>490</v>
      </c>
      <c r="M656">
        <v>2</v>
      </c>
      <c r="P656">
        <v>8</v>
      </c>
      <c r="S656">
        <v>0.22</v>
      </c>
      <c r="T656">
        <v>28000</v>
      </c>
      <c r="X656" s="16">
        <f>(8.6*1.29)</f>
        <v>11.093999999999999</v>
      </c>
      <c r="AB656">
        <v>3</v>
      </c>
      <c r="AE656">
        <v>20</v>
      </c>
      <c r="AF656">
        <v>11000</v>
      </c>
      <c r="AI656">
        <v>14</v>
      </c>
      <c r="AL656">
        <v>780</v>
      </c>
      <c r="AO656">
        <v>1100</v>
      </c>
      <c r="AR656">
        <v>3.4</v>
      </c>
      <c r="AW656">
        <v>60</v>
      </c>
      <c r="AX656">
        <v>430</v>
      </c>
      <c r="BC656">
        <v>5</v>
      </c>
      <c r="BD656">
        <v>64</v>
      </c>
      <c r="BI656">
        <v>0.06</v>
      </c>
    </row>
    <row r="657" spans="1:61" x14ac:dyDescent="0.2">
      <c r="A657" s="10" t="s">
        <v>1490</v>
      </c>
      <c r="B657" s="10" t="s">
        <v>1491</v>
      </c>
      <c r="C657" s="10" t="s">
        <v>291</v>
      </c>
      <c r="D657" s="10" t="s">
        <v>292</v>
      </c>
      <c r="E657" s="11" t="s">
        <v>8</v>
      </c>
      <c r="F657" s="11" t="s">
        <v>153</v>
      </c>
      <c r="G657" s="10" t="s">
        <v>1493</v>
      </c>
      <c r="H657">
        <v>660</v>
      </c>
      <c r="M657">
        <v>0.71</v>
      </c>
      <c r="N657">
        <v>18</v>
      </c>
      <c r="S657">
        <v>0.25</v>
      </c>
      <c r="V657">
        <v>280</v>
      </c>
      <c r="X657" s="16">
        <f>(1.4*1.29)</f>
        <v>1.8059999999999998</v>
      </c>
      <c r="AB657">
        <v>0.66</v>
      </c>
      <c r="AE657">
        <v>2</v>
      </c>
      <c r="AF657">
        <v>1600</v>
      </c>
      <c r="AI657">
        <v>34</v>
      </c>
      <c r="AL657">
        <v>130</v>
      </c>
      <c r="AO657">
        <v>9.6999999999999993</v>
      </c>
      <c r="AT657">
        <v>1.3</v>
      </c>
      <c r="AW657">
        <v>60</v>
      </c>
      <c r="AX657">
        <v>330</v>
      </c>
      <c r="BC657">
        <v>2</v>
      </c>
      <c r="BF657">
        <v>30</v>
      </c>
      <c r="BI657">
        <v>0.05</v>
      </c>
    </row>
    <row r="658" spans="1:61" x14ac:dyDescent="0.2">
      <c r="A658" s="10" t="s">
        <v>1490</v>
      </c>
      <c r="B658" s="10" t="s">
        <v>1491</v>
      </c>
      <c r="C658" s="10" t="s">
        <v>291</v>
      </c>
      <c r="D658" s="10" t="s">
        <v>292</v>
      </c>
      <c r="E658" s="11" t="s">
        <v>8</v>
      </c>
      <c r="F658" s="11" t="s">
        <v>141</v>
      </c>
      <c r="G658" s="10" t="s">
        <v>1494</v>
      </c>
      <c r="H658">
        <v>1400</v>
      </c>
      <c r="M658">
        <v>3.4</v>
      </c>
      <c r="P658">
        <v>1</v>
      </c>
      <c r="S658">
        <v>0.2</v>
      </c>
      <c r="V658">
        <v>150</v>
      </c>
      <c r="X658" s="16">
        <f>(1.5*1.29)</f>
        <v>1.9350000000000001</v>
      </c>
      <c r="AB658">
        <v>0.54</v>
      </c>
      <c r="AE658">
        <v>1</v>
      </c>
      <c r="AF658">
        <v>780</v>
      </c>
      <c r="AI658">
        <v>3</v>
      </c>
      <c r="AN658">
        <v>60</v>
      </c>
      <c r="AO658">
        <v>3</v>
      </c>
      <c r="AT658">
        <v>1.1000000000000001</v>
      </c>
      <c r="AZ658">
        <v>30</v>
      </c>
      <c r="BC658">
        <v>4</v>
      </c>
      <c r="BF658">
        <v>5</v>
      </c>
      <c r="BI658">
        <v>0.05</v>
      </c>
    </row>
    <row r="659" spans="1:61" x14ac:dyDescent="0.2">
      <c r="A659" s="10" t="s">
        <v>1490</v>
      </c>
      <c r="B659" s="10" t="s">
        <v>1491</v>
      </c>
      <c r="C659" s="10" t="s">
        <v>291</v>
      </c>
      <c r="D659" s="10" t="s">
        <v>292</v>
      </c>
      <c r="E659" s="11" t="s">
        <v>8</v>
      </c>
      <c r="F659" s="11" t="s">
        <v>140</v>
      </c>
      <c r="G659" s="10" t="s">
        <v>1492</v>
      </c>
      <c r="H659">
        <v>1700</v>
      </c>
      <c r="M659">
        <v>3</v>
      </c>
      <c r="N659">
        <v>46</v>
      </c>
      <c r="Q659">
        <v>1</v>
      </c>
      <c r="T659">
        <v>1900</v>
      </c>
      <c r="X659" s="16">
        <f>(5.6*1.29)</f>
        <v>7.2239999999999993</v>
      </c>
      <c r="AB659">
        <v>2</v>
      </c>
      <c r="AD659" s="16">
        <f>(35*1.22)</f>
        <v>42.699999999999996</v>
      </c>
      <c r="AF659">
        <v>4900</v>
      </c>
      <c r="AI659">
        <v>140</v>
      </c>
      <c r="AL659">
        <v>260</v>
      </c>
      <c r="AO659">
        <v>81</v>
      </c>
      <c r="AR659">
        <v>2.8</v>
      </c>
      <c r="AU659">
        <v>140</v>
      </c>
      <c r="AZ659">
        <v>70</v>
      </c>
      <c r="BA659">
        <v>11</v>
      </c>
      <c r="BD659">
        <v>98</v>
      </c>
      <c r="BG659">
        <v>0.15</v>
      </c>
    </row>
    <row r="660" spans="1:61" x14ac:dyDescent="0.2">
      <c r="A660" t="s">
        <v>1495</v>
      </c>
      <c r="B660" t="s">
        <v>1496</v>
      </c>
      <c r="C660" t="s">
        <v>180</v>
      </c>
      <c r="D660" t="s">
        <v>135</v>
      </c>
      <c r="E660" s="1" t="s">
        <v>8</v>
      </c>
      <c r="F660" s="1" t="s">
        <v>141</v>
      </c>
      <c r="G660" t="s">
        <v>1497</v>
      </c>
      <c r="H660" t="s">
        <v>155</v>
      </c>
      <c r="M660">
        <v>2</v>
      </c>
      <c r="N660">
        <v>65</v>
      </c>
      <c r="S660">
        <v>10</v>
      </c>
      <c r="T660" t="s">
        <v>155</v>
      </c>
      <c r="W660">
        <v>12</v>
      </c>
      <c r="Z660" t="s">
        <v>155</v>
      </c>
      <c r="AC660">
        <v>78</v>
      </c>
      <c r="AF660" t="s">
        <v>155</v>
      </c>
      <c r="AK660">
        <v>10</v>
      </c>
      <c r="AL660" t="s">
        <v>155</v>
      </c>
      <c r="AO660" t="s">
        <v>155</v>
      </c>
      <c r="AR660" t="s">
        <v>155</v>
      </c>
      <c r="AU660" t="s">
        <v>155</v>
      </c>
      <c r="AX660" t="s">
        <v>155</v>
      </c>
      <c r="BA660" t="s">
        <v>155</v>
      </c>
      <c r="BD660">
        <v>39</v>
      </c>
      <c r="BI660">
        <v>0.09</v>
      </c>
    </row>
    <row r="661" spans="1:61" x14ac:dyDescent="0.2">
      <c r="A661" t="s">
        <v>1495</v>
      </c>
      <c r="B661" t="s">
        <v>1496</v>
      </c>
      <c r="C661" t="s">
        <v>180</v>
      </c>
      <c r="D661" t="s">
        <v>135</v>
      </c>
      <c r="E661" s="1" t="s">
        <v>8</v>
      </c>
      <c r="F661" s="1" t="s">
        <v>140</v>
      </c>
      <c r="G661" t="s">
        <v>1498</v>
      </c>
      <c r="H661" t="s">
        <v>155</v>
      </c>
      <c r="K661">
        <v>4</v>
      </c>
      <c r="N661">
        <v>82</v>
      </c>
      <c r="S661">
        <v>10</v>
      </c>
      <c r="T661" t="s">
        <v>155</v>
      </c>
      <c r="W661">
        <v>18</v>
      </c>
      <c r="Z661" t="s">
        <v>155</v>
      </c>
      <c r="AC661">
        <v>36</v>
      </c>
      <c r="AF661" t="s">
        <v>155</v>
      </c>
      <c r="AI661">
        <v>130</v>
      </c>
      <c r="AL661" t="s">
        <v>155</v>
      </c>
      <c r="AO661" t="s">
        <v>155</v>
      </c>
      <c r="AR661" t="s">
        <v>155</v>
      </c>
      <c r="AU661" t="s">
        <v>155</v>
      </c>
      <c r="AX661" t="s">
        <v>155</v>
      </c>
      <c r="BA661" t="s">
        <v>155</v>
      </c>
      <c r="BD661">
        <v>92</v>
      </c>
      <c r="BI661">
        <v>0.09</v>
      </c>
    </row>
    <row r="662" spans="1:61" x14ac:dyDescent="0.2">
      <c r="A662" t="s">
        <v>1499</v>
      </c>
      <c r="B662" t="s">
        <v>1500</v>
      </c>
      <c r="C662" t="s">
        <v>1311</v>
      </c>
      <c r="D662" t="s">
        <v>126</v>
      </c>
      <c r="E662" s="1" t="s">
        <v>168</v>
      </c>
      <c r="F662" s="1" t="s">
        <v>140</v>
      </c>
      <c r="G662" t="s">
        <v>1501</v>
      </c>
      <c r="H662" t="s">
        <v>155</v>
      </c>
      <c r="M662">
        <v>4</v>
      </c>
      <c r="N662">
        <v>8</v>
      </c>
      <c r="S662">
        <v>4</v>
      </c>
      <c r="T662" t="s">
        <v>155</v>
      </c>
      <c r="Y662">
        <v>4</v>
      </c>
      <c r="Z662" t="s">
        <v>155</v>
      </c>
      <c r="AC662" t="s">
        <v>155</v>
      </c>
      <c r="AF662" t="s">
        <v>155</v>
      </c>
      <c r="AI662">
        <v>4</v>
      </c>
      <c r="AL662" t="s">
        <v>155</v>
      </c>
      <c r="AO662" t="s">
        <v>155</v>
      </c>
      <c r="AR662" t="s">
        <v>155</v>
      </c>
      <c r="AU662" t="s">
        <v>155</v>
      </c>
      <c r="AX662" t="s">
        <v>155</v>
      </c>
      <c r="BA662" t="s">
        <v>155</v>
      </c>
      <c r="BD662">
        <v>28</v>
      </c>
      <c r="BI662">
        <v>0.1</v>
      </c>
    </row>
    <row r="663" spans="1:61" x14ac:dyDescent="0.2">
      <c r="A663" t="s">
        <v>1499</v>
      </c>
      <c r="B663" t="s">
        <v>1500</v>
      </c>
      <c r="C663" t="s">
        <v>1311</v>
      </c>
      <c r="D663" t="s">
        <v>126</v>
      </c>
      <c r="E663" s="1" t="s">
        <v>168</v>
      </c>
      <c r="F663" s="1" t="s">
        <v>153</v>
      </c>
      <c r="G663" t="s">
        <v>1502</v>
      </c>
      <c r="H663" t="s">
        <v>155</v>
      </c>
      <c r="M663">
        <v>4</v>
      </c>
      <c r="N663">
        <v>8</v>
      </c>
      <c r="S663">
        <v>4</v>
      </c>
      <c r="T663" t="s">
        <v>155</v>
      </c>
      <c r="Y663">
        <v>4</v>
      </c>
      <c r="Z663" t="s">
        <v>155</v>
      </c>
      <c r="AC663" t="s">
        <v>155</v>
      </c>
      <c r="AF663" t="s">
        <v>155</v>
      </c>
      <c r="AI663">
        <v>4</v>
      </c>
      <c r="AL663" t="s">
        <v>155</v>
      </c>
      <c r="AO663" t="s">
        <v>155</v>
      </c>
      <c r="AR663" t="s">
        <v>155</v>
      </c>
      <c r="AU663" t="s">
        <v>155</v>
      </c>
      <c r="AX663" t="s">
        <v>155</v>
      </c>
      <c r="BA663" t="s">
        <v>155</v>
      </c>
      <c r="BD663">
        <v>28</v>
      </c>
      <c r="BI663">
        <v>0.1</v>
      </c>
    </row>
    <row r="664" spans="1:61" x14ac:dyDescent="0.2">
      <c r="A664" t="s">
        <v>1499</v>
      </c>
      <c r="B664" t="s">
        <v>1500</v>
      </c>
      <c r="C664" t="s">
        <v>1311</v>
      </c>
      <c r="D664" t="s">
        <v>126</v>
      </c>
      <c r="E664" s="1" t="s">
        <v>168</v>
      </c>
      <c r="F664" s="1" t="s">
        <v>153</v>
      </c>
      <c r="G664" t="s">
        <v>1503</v>
      </c>
      <c r="H664" t="s">
        <v>155</v>
      </c>
      <c r="M664">
        <v>4</v>
      </c>
      <c r="N664">
        <v>8</v>
      </c>
      <c r="S664">
        <v>4</v>
      </c>
      <c r="T664" t="s">
        <v>155</v>
      </c>
      <c r="W664">
        <v>6</v>
      </c>
      <c r="Z664" t="s">
        <v>155</v>
      </c>
      <c r="AC664" t="s">
        <v>155</v>
      </c>
      <c r="AF664" t="s">
        <v>155</v>
      </c>
      <c r="AI664">
        <v>6</v>
      </c>
      <c r="AL664" t="s">
        <v>155</v>
      </c>
      <c r="AO664" t="s">
        <v>155</v>
      </c>
      <c r="AR664" t="s">
        <v>155</v>
      </c>
      <c r="AU664" t="s">
        <v>155</v>
      </c>
      <c r="AX664" t="s">
        <v>155</v>
      </c>
      <c r="BA664" t="s">
        <v>155</v>
      </c>
      <c r="BD664">
        <v>24</v>
      </c>
      <c r="BI664">
        <v>0.1</v>
      </c>
    </row>
    <row r="665" spans="1:61" x14ac:dyDescent="0.2">
      <c r="A665" t="s">
        <v>1504</v>
      </c>
      <c r="B665" t="s">
        <v>1505</v>
      </c>
      <c r="C665" t="s">
        <v>151</v>
      </c>
      <c r="D665" t="s">
        <v>152</v>
      </c>
      <c r="E665" s="1" t="s">
        <v>8</v>
      </c>
      <c r="F665" s="1" t="s">
        <v>140</v>
      </c>
      <c r="G665" t="s">
        <v>1506</v>
      </c>
      <c r="H665" t="s">
        <v>155</v>
      </c>
      <c r="K665">
        <v>1.83</v>
      </c>
      <c r="N665">
        <v>47</v>
      </c>
      <c r="Q665" t="s">
        <v>155</v>
      </c>
      <c r="T665" t="s">
        <v>155</v>
      </c>
      <c r="W665" t="s">
        <v>155</v>
      </c>
      <c r="Z665" t="s">
        <v>155</v>
      </c>
      <c r="AC665" t="s">
        <v>155</v>
      </c>
      <c r="AF665" t="s">
        <v>155</v>
      </c>
      <c r="AI665">
        <v>17.8</v>
      </c>
      <c r="AL665" t="s">
        <v>155</v>
      </c>
      <c r="AO665" t="s">
        <v>155</v>
      </c>
      <c r="AR665" t="s">
        <v>155</v>
      </c>
      <c r="AU665" t="s">
        <v>155</v>
      </c>
      <c r="AX665" t="s">
        <v>155</v>
      </c>
      <c r="BA665" t="s">
        <v>155</v>
      </c>
      <c r="BD665" t="s">
        <v>155</v>
      </c>
      <c r="BG665" t="s">
        <v>155</v>
      </c>
    </row>
    <row r="666" spans="1:61" x14ac:dyDescent="0.2">
      <c r="A666" t="s">
        <v>1504</v>
      </c>
      <c r="B666" t="s">
        <v>1505</v>
      </c>
      <c r="C666" t="s">
        <v>151</v>
      </c>
      <c r="D666" t="s">
        <v>152</v>
      </c>
      <c r="E666" s="1" t="s">
        <v>8</v>
      </c>
      <c r="F666" s="1" t="s">
        <v>140</v>
      </c>
      <c r="G666" t="s">
        <v>1507</v>
      </c>
      <c r="H666" t="s">
        <v>155</v>
      </c>
      <c r="K666">
        <v>4.5</v>
      </c>
      <c r="N666">
        <v>89</v>
      </c>
      <c r="S666">
        <v>1</v>
      </c>
      <c r="T666" t="s">
        <v>155</v>
      </c>
      <c r="W666">
        <v>14</v>
      </c>
      <c r="Z666" t="s">
        <v>155</v>
      </c>
      <c r="AC666" t="s">
        <v>155</v>
      </c>
      <c r="AF666" t="s">
        <v>155</v>
      </c>
      <c r="AI666">
        <v>60</v>
      </c>
      <c r="AL666" t="s">
        <v>155</v>
      </c>
      <c r="AO666" t="s">
        <v>155</v>
      </c>
      <c r="AR666" t="s">
        <v>155</v>
      </c>
      <c r="AU666" t="s">
        <v>155</v>
      </c>
      <c r="AX666" t="s">
        <v>155</v>
      </c>
      <c r="BA666" t="s">
        <v>155</v>
      </c>
      <c r="BD666" t="s">
        <v>155</v>
      </c>
      <c r="BG666">
        <v>0.05</v>
      </c>
    </row>
    <row r="667" spans="1:61" x14ac:dyDescent="0.2">
      <c r="A667" t="s">
        <v>1504</v>
      </c>
      <c r="B667" t="s">
        <v>1505</v>
      </c>
      <c r="C667" t="s">
        <v>151</v>
      </c>
      <c r="D667" t="s">
        <v>152</v>
      </c>
      <c r="E667" s="1" t="s">
        <v>8</v>
      </c>
      <c r="F667" s="1" t="s">
        <v>153</v>
      </c>
      <c r="G667" t="s">
        <v>1508</v>
      </c>
      <c r="H667" t="s">
        <v>155</v>
      </c>
      <c r="K667">
        <v>1.1499999999999999</v>
      </c>
      <c r="N667">
        <v>34.5</v>
      </c>
      <c r="S667">
        <v>1</v>
      </c>
      <c r="T667" t="s">
        <v>155</v>
      </c>
      <c r="W667">
        <v>10</v>
      </c>
      <c r="Z667" t="s">
        <v>155</v>
      </c>
      <c r="AC667" t="s">
        <v>155</v>
      </c>
      <c r="AF667" t="s">
        <v>155</v>
      </c>
      <c r="AI667">
        <v>28</v>
      </c>
      <c r="AL667" t="s">
        <v>155</v>
      </c>
      <c r="AO667" t="s">
        <v>155</v>
      </c>
      <c r="AR667" t="s">
        <v>155</v>
      </c>
      <c r="AU667" t="s">
        <v>155</v>
      </c>
      <c r="AX667" t="s">
        <v>155</v>
      </c>
      <c r="BA667" t="s">
        <v>155</v>
      </c>
      <c r="BD667" t="s">
        <v>155</v>
      </c>
      <c r="BI667">
        <v>0.05</v>
      </c>
    </row>
    <row r="668" spans="1:61" x14ac:dyDescent="0.2">
      <c r="A668" t="s">
        <v>1504</v>
      </c>
      <c r="B668" t="s">
        <v>1505</v>
      </c>
      <c r="C668" t="s">
        <v>151</v>
      </c>
      <c r="D668" t="s">
        <v>152</v>
      </c>
      <c r="E668" s="1" t="s">
        <v>8</v>
      </c>
      <c r="F668" s="1" t="s">
        <v>153</v>
      </c>
      <c r="G668" t="s">
        <v>1509</v>
      </c>
      <c r="H668" t="s">
        <v>155</v>
      </c>
      <c r="M668">
        <v>1</v>
      </c>
      <c r="N668">
        <v>21</v>
      </c>
      <c r="S668">
        <v>1</v>
      </c>
      <c r="T668" t="s">
        <v>155</v>
      </c>
      <c r="W668">
        <v>10.5</v>
      </c>
      <c r="Z668" t="s">
        <v>155</v>
      </c>
      <c r="AC668" t="s">
        <v>155</v>
      </c>
      <c r="AF668" t="s">
        <v>155</v>
      </c>
      <c r="AI668">
        <v>28</v>
      </c>
      <c r="AL668" t="s">
        <v>155</v>
      </c>
      <c r="AO668" t="s">
        <v>155</v>
      </c>
      <c r="AR668" t="s">
        <v>155</v>
      </c>
      <c r="AU668" t="s">
        <v>155</v>
      </c>
      <c r="AX668" t="s">
        <v>155</v>
      </c>
      <c r="BA668" t="s">
        <v>155</v>
      </c>
      <c r="BD668" t="s">
        <v>155</v>
      </c>
      <c r="BI668">
        <v>0.05</v>
      </c>
    </row>
    <row r="669" spans="1:61" x14ac:dyDescent="0.2">
      <c r="A669" t="s">
        <v>1510</v>
      </c>
      <c r="B669" t="s">
        <v>1511</v>
      </c>
      <c r="C669" t="s">
        <v>686</v>
      </c>
      <c r="D669" t="s">
        <v>134</v>
      </c>
      <c r="E669" s="1" t="s">
        <v>8</v>
      </c>
      <c r="F669" s="1" t="s">
        <v>140</v>
      </c>
      <c r="G669" t="s">
        <v>1512</v>
      </c>
      <c r="H669" t="s">
        <v>155</v>
      </c>
      <c r="K669">
        <v>200</v>
      </c>
      <c r="P669">
        <v>8</v>
      </c>
      <c r="S669">
        <v>16</v>
      </c>
      <c r="T669" t="s">
        <v>155</v>
      </c>
      <c r="Y669">
        <v>40</v>
      </c>
      <c r="Z669" t="s">
        <v>155</v>
      </c>
      <c r="AC669">
        <v>12</v>
      </c>
      <c r="AF669" t="s">
        <v>155</v>
      </c>
      <c r="AI669">
        <v>20</v>
      </c>
      <c r="AL669" t="s">
        <v>155</v>
      </c>
      <c r="AO669" t="s">
        <v>155</v>
      </c>
      <c r="AR669" t="s">
        <v>155</v>
      </c>
      <c r="AU669" t="s">
        <v>155</v>
      </c>
      <c r="AX669" t="s">
        <v>155</v>
      </c>
      <c r="BA669" t="s">
        <v>155</v>
      </c>
      <c r="BD669" t="s">
        <v>155</v>
      </c>
      <c r="BI669">
        <v>0.1</v>
      </c>
    </row>
    <row r="670" spans="1:61" x14ac:dyDescent="0.2">
      <c r="A670" t="s">
        <v>1513</v>
      </c>
      <c r="B670" t="s">
        <v>1514</v>
      </c>
      <c r="C670" t="s">
        <v>1515</v>
      </c>
      <c r="D670" t="s">
        <v>275</v>
      </c>
      <c r="E670" s="1" t="s">
        <v>8</v>
      </c>
      <c r="F670" s="1" t="s">
        <v>140</v>
      </c>
      <c r="G670" t="s">
        <v>690</v>
      </c>
      <c r="H670" t="s">
        <v>155</v>
      </c>
      <c r="M670">
        <v>2</v>
      </c>
      <c r="N670">
        <v>120</v>
      </c>
      <c r="Q670">
        <v>20</v>
      </c>
      <c r="T670" t="s">
        <v>155</v>
      </c>
      <c r="W670">
        <v>60</v>
      </c>
      <c r="Z670" t="s">
        <v>155</v>
      </c>
      <c r="AC670" t="s">
        <v>155</v>
      </c>
      <c r="AF670" t="s">
        <v>155</v>
      </c>
      <c r="AK670">
        <v>20</v>
      </c>
      <c r="AL670" t="s">
        <v>155</v>
      </c>
      <c r="AO670" t="s">
        <v>155</v>
      </c>
      <c r="AR670" t="s">
        <v>155</v>
      </c>
      <c r="AU670" t="s">
        <v>155</v>
      </c>
      <c r="AX670" t="s">
        <v>155</v>
      </c>
      <c r="BA670" t="s">
        <v>155</v>
      </c>
      <c r="BD670" t="s">
        <v>155</v>
      </c>
      <c r="BI670">
        <v>0.09</v>
      </c>
    </row>
    <row r="671" spans="1:61" x14ac:dyDescent="0.2">
      <c r="A671" t="s">
        <v>1513</v>
      </c>
      <c r="B671" t="s">
        <v>1514</v>
      </c>
      <c r="C671" t="s">
        <v>1515</v>
      </c>
      <c r="D671" t="s">
        <v>275</v>
      </c>
      <c r="E671" s="1" t="s">
        <v>8</v>
      </c>
      <c r="F671" s="1" t="s">
        <v>141</v>
      </c>
      <c r="G671" t="s">
        <v>1516</v>
      </c>
      <c r="H671" t="s">
        <v>155</v>
      </c>
      <c r="M671">
        <v>2</v>
      </c>
      <c r="N671">
        <v>43</v>
      </c>
      <c r="S671">
        <v>16</v>
      </c>
      <c r="T671" t="s">
        <v>155</v>
      </c>
      <c r="W671">
        <v>69</v>
      </c>
      <c r="Z671" t="s">
        <v>155</v>
      </c>
      <c r="AC671" t="s">
        <v>155</v>
      </c>
      <c r="AF671" t="s">
        <v>155</v>
      </c>
      <c r="AK671">
        <v>20</v>
      </c>
      <c r="AL671" t="s">
        <v>155</v>
      </c>
      <c r="AO671" t="s">
        <v>155</v>
      </c>
      <c r="AR671" t="s">
        <v>155</v>
      </c>
      <c r="AU671" t="s">
        <v>155</v>
      </c>
      <c r="AX671" t="s">
        <v>155</v>
      </c>
      <c r="BA671" t="s">
        <v>155</v>
      </c>
      <c r="BD671" t="s">
        <v>155</v>
      </c>
      <c r="BI671">
        <v>0.09</v>
      </c>
    </row>
    <row r="672" spans="1:61" x14ac:dyDescent="0.2">
      <c r="A672" t="s">
        <v>1513</v>
      </c>
      <c r="B672" t="s">
        <v>1514</v>
      </c>
      <c r="C672" t="s">
        <v>1515</v>
      </c>
      <c r="D672" t="s">
        <v>275</v>
      </c>
      <c r="E672" s="1" t="s">
        <v>8</v>
      </c>
      <c r="F672" s="1" t="s">
        <v>153</v>
      </c>
      <c r="G672" t="s">
        <v>1000</v>
      </c>
      <c r="H672" t="s">
        <v>155</v>
      </c>
      <c r="M672">
        <v>2</v>
      </c>
      <c r="N672">
        <v>70</v>
      </c>
      <c r="S672">
        <v>20</v>
      </c>
      <c r="T672" t="s">
        <v>155</v>
      </c>
      <c r="Y672">
        <v>20</v>
      </c>
      <c r="Z672" t="s">
        <v>155</v>
      </c>
      <c r="AC672" t="s">
        <v>155</v>
      </c>
      <c r="AF672" t="s">
        <v>155</v>
      </c>
      <c r="AK672">
        <v>20</v>
      </c>
      <c r="AL672" t="s">
        <v>155</v>
      </c>
      <c r="AO672" t="s">
        <v>155</v>
      </c>
      <c r="AR672" t="s">
        <v>155</v>
      </c>
      <c r="AU672" t="s">
        <v>155</v>
      </c>
      <c r="AX672" t="s">
        <v>155</v>
      </c>
      <c r="BA672" t="s">
        <v>155</v>
      </c>
      <c r="BD672" t="s">
        <v>155</v>
      </c>
      <c r="BI672">
        <v>0.09</v>
      </c>
    </row>
    <row r="673" spans="1:61" x14ac:dyDescent="0.2">
      <c r="A673" t="s">
        <v>1517</v>
      </c>
      <c r="B673" t="s">
        <v>1518</v>
      </c>
      <c r="C673" t="s">
        <v>1519</v>
      </c>
      <c r="D673" t="s">
        <v>292</v>
      </c>
      <c r="E673" s="1" t="s">
        <v>8</v>
      </c>
      <c r="F673" s="1" t="s">
        <v>140</v>
      </c>
      <c r="G673" t="s">
        <v>1520</v>
      </c>
      <c r="H673">
        <v>3400</v>
      </c>
      <c r="K673" t="s">
        <v>155</v>
      </c>
      <c r="O673" s="16">
        <f>(8.5*3.99)</f>
        <v>33.914999999999999</v>
      </c>
      <c r="R673" s="16">
        <f>(0.14*1.41)</f>
        <v>0.19740000000000002</v>
      </c>
      <c r="U673" s="16">
        <f>(16000*1.29)</f>
        <v>20640</v>
      </c>
      <c r="W673">
        <v>3.5</v>
      </c>
      <c r="Z673" t="s">
        <v>155</v>
      </c>
      <c r="AD673" s="16">
        <f>(5.6*1.22)</f>
        <v>6.8319999999999999</v>
      </c>
      <c r="AF673">
        <v>1100</v>
      </c>
      <c r="AJ673" s="16">
        <f>(9.9*1.44)</f>
        <v>14.256</v>
      </c>
      <c r="AM673" s="16">
        <f>(270*1.23)</f>
        <v>332.1</v>
      </c>
      <c r="AP673" s="16">
        <f>(7.8*1.24)</f>
        <v>9.6720000000000006</v>
      </c>
      <c r="AR673" t="s">
        <v>155</v>
      </c>
      <c r="AV673" s="16">
        <f>(93*17.49)</f>
        <v>1626.57</v>
      </c>
      <c r="AX673">
        <v>72</v>
      </c>
      <c r="BB673" s="16">
        <f>(3.3*1.34)</f>
        <v>4.4219999999999997</v>
      </c>
      <c r="BD673">
        <v>5</v>
      </c>
      <c r="BG673" t="s">
        <v>155</v>
      </c>
    </row>
    <row r="674" spans="1:61" x14ac:dyDescent="0.2">
      <c r="A674" t="s">
        <v>1517</v>
      </c>
      <c r="B674" t="s">
        <v>1518</v>
      </c>
      <c r="C674" t="s">
        <v>1519</v>
      </c>
      <c r="D674" t="s">
        <v>292</v>
      </c>
      <c r="E674" s="1" t="s">
        <v>8</v>
      </c>
      <c r="F674" s="1" t="s">
        <v>140</v>
      </c>
      <c r="G674" t="s">
        <v>1521</v>
      </c>
      <c r="H674">
        <v>2700</v>
      </c>
      <c r="K674" t="s">
        <v>155</v>
      </c>
      <c r="O674" s="16">
        <f>(7.9*3.99)</f>
        <v>31.521000000000004</v>
      </c>
      <c r="Q674" t="s">
        <v>155</v>
      </c>
      <c r="U674" s="16">
        <f>(8300*1.29)</f>
        <v>10707</v>
      </c>
      <c r="W674">
        <v>3.7</v>
      </c>
      <c r="Z674" t="s">
        <v>155</v>
      </c>
      <c r="AD674" s="16">
        <f>(4.9*1.22)</f>
        <v>5.9780000000000006</v>
      </c>
      <c r="AF674">
        <v>1100</v>
      </c>
      <c r="AJ674" s="16">
        <f>(8.8*1.44)</f>
        <v>12.672000000000001</v>
      </c>
      <c r="AM674" s="16">
        <f>(180*1.23)</f>
        <v>221.4</v>
      </c>
      <c r="AP674" s="16">
        <f>(6.5*1.24)</f>
        <v>8.06</v>
      </c>
      <c r="AR674" t="s">
        <v>155</v>
      </c>
      <c r="AV674" s="16">
        <f>(87*17.49)</f>
        <v>1521.6299999999999</v>
      </c>
      <c r="AX674">
        <v>76</v>
      </c>
      <c r="BB674" s="16">
        <f>(3.4*1.34)</f>
        <v>4.556</v>
      </c>
      <c r="BD674">
        <v>6</v>
      </c>
      <c r="BG674" t="s">
        <v>155</v>
      </c>
    </row>
    <row r="675" spans="1:61" x14ac:dyDescent="0.2">
      <c r="A675" t="s">
        <v>1517</v>
      </c>
      <c r="B675" t="s">
        <v>1518</v>
      </c>
      <c r="C675" t="s">
        <v>1519</v>
      </c>
      <c r="D675" t="s">
        <v>292</v>
      </c>
      <c r="E675" s="1" t="s">
        <v>8</v>
      </c>
      <c r="F675" s="1" t="s">
        <v>140</v>
      </c>
      <c r="G675" t="s">
        <v>1522</v>
      </c>
      <c r="H675">
        <v>1300</v>
      </c>
      <c r="K675" t="s">
        <v>155</v>
      </c>
      <c r="O675" s="16">
        <f>(4.7*3.99)</f>
        <v>18.753</v>
      </c>
      <c r="R675" s="16">
        <f>(0.07*1.41)</f>
        <v>9.870000000000001E-2</v>
      </c>
      <c r="U675" s="16">
        <f>(200*1.29)</f>
        <v>258</v>
      </c>
      <c r="W675" t="s">
        <v>155</v>
      </c>
      <c r="Z675" t="s">
        <v>155</v>
      </c>
      <c r="AD675" s="16">
        <f>(3.6*1.22)</f>
        <v>4.3920000000000003</v>
      </c>
      <c r="AF675">
        <v>560</v>
      </c>
      <c r="AJ675" s="16">
        <f>(6.4*1.44)</f>
        <v>9.2159999999999993</v>
      </c>
      <c r="AL675" s="13" t="s">
        <v>155</v>
      </c>
      <c r="AO675" t="s">
        <v>155</v>
      </c>
      <c r="AR675" t="s">
        <v>155</v>
      </c>
      <c r="AV675" s="16">
        <f>(71*17.49)</f>
        <v>1241.79</v>
      </c>
      <c r="AX675">
        <v>50</v>
      </c>
      <c r="BB675" s="16">
        <f>(2.3*1.34)</f>
        <v>3.0819999999999999</v>
      </c>
      <c r="BD675" t="s">
        <v>155</v>
      </c>
      <c r="BG675" t="s">
        <v>155</v>
      </c>
    </row>
    <row r="676" spans="1:61" x14ac:dyDescent="0.2">
      <c r="A676" t="s">
        <v>1517</v>
      </c>
      <c r="B676" t="s">
        <v>1518</v>
      </c>
      <c r="C676" t="s">
        <v>1519</v>
      </c>
      <c r="D676" t="s">
        <v>292</v>
      </c>
      <c r="E676" s="1" t="s">
        <v>8</v>
      </c>
      <c r="F676" s="1" t="s">
        <v>140</v>
      </c>
      <c r="G676" t="s">
        <v>1523</v>
      </c>
      <c r="H676">
        <v>1500</v>
      </c>
      <c r="K676" t="s">
        <v>155</v>
      </c>
      <c r="N676" t="s">
        <v>155</v>
      </c>
      <c r="Q676" t="s">
        <v>155</v>
      </c>
      <c r="U676" s="16">
        <f>(170*1.29)</f>
        <v>219.3</v>
      </c>
      <c r="W676" t="s">
        <v>155</v>
      </c>
      <c r="Z676" t="s">
        <v>155</v>
      </c>
      <c r="AD676" s="16">
        <f>(2.2*1.22)</f>
        <v>2.6840000000000002</v>
      </c>
      <c r="AF676">
        <v>620</v>
      </c>
      <c r="AJ676" s="16">
        <f>(4.5*1.44)</f>
        <v>6.4799999999999995</v>
      </c>
      <c r="AL676" t="s">
        <v>155</v>
      </c>
      <c r="AO676" t="s">
        <v>155</v>
      </c>
      <c r="AR676" t="s">
        <v>155</v>
      </c>
      <c r="AV676" s="16">
        <f>(41*17.49)</f>
        <v>717.08999999999992</v>
      </c>
      <c r="AX676">
        <v>69</v>
      </c>
      <c r="BB676" s="16">
        <f>(2.1*1.34)</f>
        <v>2.8140000000000005</v>
      </c>
      <c r="BD676" t="s">
        <v>155</v>
      </c>
      <c r="BG676" t="s">
        <v>155</v>
      </c>
    </row>
    <row r="677" spans="1:61" x14ac:dyDescent="0.2">
      <c r="A677" t="s">
        <v>1517</v>
      </c>
      <c r="B677" t="s">
        <v>1518</v>
      </c>
      <c r="C677" t="s">
        <v>1519</v>
      </c>
      <c r="D677" t="s">
        <v>292</v>
      </c>
      <c r="E677" s="1" t="s">
        <v>8</v>
      </c>
      <c r="F677" s="1" t="s">
        <v>141</v>
      </c>
      <c r="G677" t="s">
        <v>1524</v>
      </c>
      <c r="H677">
        <v>2300</v>
      </c>
      <c r="K677" t="s">
        <v>155</v>
      </c>
      <c r="N677" t="s">
        <v>155</v>
      </c>
      <c r="Q677" t="s">
        <v>155</v>
      </c>
      <c r="T677" t="s">
        <v>155</v>
      </c>
      <c r="X677" s="16">
        <f>(3.9*1.29)</f>
        <v>5.0309999999999997</v>
      </c>
      <c r="Z677" t="s">
        <v>155</v>
      </c>
      <c r="AD677" s="16">
        <f>(6.7*1.22)</f>
        <v>8.1739999999999995</v>
      </c>
      <c r="AG677" s="16">
        <f>(320*1.34)</f>
        <v>428.8</v>
      </c>
      <c r="AJ677" s="16">
        <f>(5.5*1.44)</f>
        <v>7.92</v>
      </c>
      <c r="AL677" t="s">
        <v>155</v>
      </c>
      <c r="AO677" t="s">
        <v>155</v>
      </c>
      <c r="AR677" t="s">
        <v>155</v>
      </c>
      <c r="AU677" t="s">
        <v>155</v>
      </c>
      <c r="AY677" s="16">
        <f>(72*25.43)</f>
        <v>1830.96</v>
      </c>
      <c r="BB677" s="16">
        <f>(2*1.34)</f>
        <v>2.68</v>
      </c>
      <c r="BD677" t="s">
        <v>155</v>
      </c>
      <c r="BG677" t="s">
        <v>155</v>
      </c>
    </row>
    <row r="678" spans="1:61" x14ac:dyDescent="0.2">
      <c r="A678" t="s">
        <v>1517</v>
      </c>
      <c r="B678" t="s">
        <v>1518</v>
      </c>
      <c r="C678" t="s">
        <v>1519</v>
      </c>
      <c r="D678" t="s">
        <v>292</v>
      </c>
      <c r="E678" s="1" t="s">
        <v>8</v>
      </c>
      <c r="F678" s="1" t="s">
        <v>141</v>
      </c>
      <c r="G678" t="s">
        <v>1525</v>
      </c>
      <c r="I678" s="16">
        <f>(4400*1.66)</f>
        <v>7304</v>
      </c>
      <c r="K678" t="s">
        <v>155</v>
      </c>
      <c r="O678" s="16">
        <f>(8*3.99)</f>
        <v>31.92</v>
      </c>
      <c r="Q678" t="s">
        <v>155</v>
      </c>
      <c r="U678" s="16">
        <f>(1300*1.29)</f>
        <v>1677</v>
      </c>
      <c r="X678" s="16">
        <f>(6.4*1.29)</f>
        <v>8.2560000000000002</v>
      </c>
      <c r="Z678" t="s">
        <v>155</v>
      </c>
      <c r="AD678" s="16">
        <f>(7*1.22)</f>
        <v>8.5399999999999991</v>
      </c>
      <c r="AG678" s="16">
        <f>(4300*1.34)</f>
        <v>5762</v>
      </c>
      <c r="AJ678" s="16">
        <f>(7.9*1.44)</f>
        <v>11.375999999999999</v>
      </c>
      <c r="AL678" t="s">
        <v>155</v>
      </c>
      <c r="AP678" s="16">
        <f>(3.9*1.24)</f>
        <v>4.8360000000000003</v>
      </c>
      <c r="AR678" t="s">
        <v>155</v>
      </c>
      <c r="AV678" s="16">
        <f>(160*17.49)</f>
        <v>2798.3999999999996</v>
      </c>
      <c r="AX678">
        <v>77</v>
      </c>
      <c r="BB678" s="16">
        <f>(6.3*1.34)</f>
        <v>8.4420000000000002</v>
      </c>
      <c r="BE678" s="16">
        <f>(4.6*1.5)</f>
        <v>6.8999999999999995</v>
      </c>
      <c r="BG678" t="s">
        <v>155</v>
      </c>
    </row>
    <row r="679" spans="1:61" x14ac:dyDescent="0.2">
      <c r="A679" t="s">
        <v>1517</v>
      </c>
      <c r="B679" t="s">
        <v>1518</v>
      </c>
      <c r="C679" t="s">
        <v>1519</v>
      </c>
      <c r="D679" t="s">
        <v>292</v>
      </c>
      <c r="E679" s="1" t="s">
        <v>8</v>
      </c>
      <c r="F679" s="1" t="s">
        <v>141</v>
      </c>
      <c r="G679" t="s">
        <v>1526</v>
      </c>
      <c r="I679" s="16">
        <f>(1100*1.66)</f>
        <v>1826</v>
      </c>
      <c r="K679" t="s">
        <v>155</v>
      </c>
      <c r="N679">
        <v>3</v>
      </c>
      <c r="Q679" t="s">
        <v>155</v>
      </c>
      <c r="T679" t="s">
        <v>155</v>
      </c>
      <c r="X679" s="16">
        <f>(1.9*1.29)</f>
        <v>2.4510000000000001</v>
      </c>
      <c r="Z679" t="s">
        <v>155</v>
      </c>
      <c r="AC679" t="s">
        <v>155</v>
      </c>
      <c r="AF679">
        <v>450</v>
      </c>
      <c r="AJ679" s="16">
        <f>(5.1*1.44)</f>
        <v>7.3439999999999994</v>
      </c>
      <c r="AL679" t="s">
        <v>155</v>
      </c>
      <c r="AP679" s="16">
        <f>(3.9*1.24)</f>
        <v>4.8360000000000003</v>
      </c>
      <c r="AR679" t="s">
        <v>155</v>
      </c>
      <c r="AU679" t="s">
        <v>155</v>
      </c>
      <c r="AX679" t="s">
        <v>155</v>
      </c>
      <c r="BB679" s="16">
        <f>(2.7*1.34)</f>
        <v>3.6180000000000003</v>
      </c>
      <c r="BD679" t="s">
        <v>155</v>
      </c>
      <c r="BG679" t="s">
        <v>155</v>
      </c>
    </row>
    <row r="680" spans="1:61" x14ac:dyDescent="0.2">
      <c r="A680" t="s">
        <v>1517</v>
      </c>
      <c r="B680" t="s">
        <v>1518</v>
      </c>
      <c r="C680" t="s">
        <v>1519</v>
      </c>
      <c r="D680" t="s">
        <v>292</v>
      </c>
      <c r="E680" s="1" t="s">
        <v>8</v>
      </c>
      <c r="F680" s="1" t="s">
        <v>141</v>
      </c>
      <c r="G680" t="s">
        <v>1527</v>
      </c>
      <c r="I680" s="16">
        <f>(1400*1.66)</f>
        <v>2324</v>
      </c>
      <c r="K680" t="s">
        <v>155</v>
      </c>
      <c r="N680">
        <v>2</v>
      </c>
      <c r="Q680" t="s">
        <v>155</v>
      </c>
      <c r="T680" t="s">
        <v>155</v>
      </c>
      <c r="X680" s="16">
        <f>(1.7*1.29)</f>
        <v>2.1930000000000001</v>
      </c>
      <c r="Z680" t="s">
        <v>155</v>
      </c>
      <c r="AC680" t="s">
        <v>155</v>
      </c>
      <c r="AF680">
        <v>880</v>
      </c>
      <c r="AJ680" s="16">
        <f>(2.8*1.44)</f>
        <v>4.032</v>
      </c>
      <c r="AL680" t="s">
        <v>155</v>
      </c>
      <c r="AP680" s="16">
        <f>(2*1.24)</f>
        <v>2.48</v>
      </c>
      <c r="AR680" t="s">
        <v>155</v>
      </c>
      <c r="AU680" t="s">
        <v>155</v>
      </c>
      <c r="AX680" t="s">
        <v>155</v>
      </c>
      <c r="BB680" s="16">
        <f>(2.5*1.34)</f>
        <v>3.35</v>
      </c>
      <c r="BD680" t="s">
        <v>155</v>
      </c>
      <c r="BG680" t="s">
        <v>155</v>
      </c>
    </row>
    <row r="681" spans="1:61" x14ac:dyDescent="0.2">
      <c r="A681" t="s">
        <v>1517</v>
      </c>
      <c r="B681" t="s">
        <v>1518</v>
      </c>
      <c r="C681" t="s">
        <v>1519</v>
      </c>
      <c r="D681" t="s">
        <v>292</v>
      </c>
      <c r="E681" s="1" t="s">
        <v>8</v>
      </c>
      <c r="F681" s="1" t="s">
        <v>141</v>
      </c>
      <c r="G681" t="s">
        <v>1528</v>
      </c>
      <c r="I681" s="16">
        <f>(2300*1.66)</f>
        <v>3818</v>
      </c>
      <c r="K681" t="s">
        <v>155</v>
      </c>
      <c r="N681">
        <v>7</v>
      </c>
      <c r="Q681" t="s">
        <v>155</v>
      </c>
      <c r="T681">
        <v>1600</v>
      </c>
      <c r="W681">
        <v>4</v>
      </c>
      <c r="Z681" t="s">
        <v>155</v>
      </c>
      <c r="AC681" t="s">
        <v>155</v>
      </c>
      <c r="AF681">
        <v>100</v>
      </c>
      <c r="AJ681" s="16">
        <f>(6.2*1.44)</f>
        <v>8.927999999999999</v>
      </c>
      <c r="AM681" s="16">
        <f>(130*1.23)</f>
        <v>159.9</v>
      </c>
      <c r="AP681" s="16">
        <f>(12*1.24)</f>
        <v>14.879999999999999</v>
      </c>
      <c r="AR681" t="s">
        <v>155</v>
      </c>
      <c r="AV681" s="16">
        <f>(110*17.49)</f>
        <v>1923.8999999999999</v>
      </c>
      <c r="AX681" t="s">
        <v>155</v>
      </c>
      <c r="BB681" s="16">
        <f>(4.1*1.34)</f>
        <v>5.4939999999999998</v>
      </c>
      <c r="BD681">
        <v>8</v>
      </c>
      <c r="BG681" t="s">
        <v>155</v>
      </c>
    </row>
    <row r="682" spans="1:61" x14ac:dyDescent="0.2">
      <c r="A682" t="s">
        <v>1517</v>
      </c>
      <c r="B682" t="s">
        <v>1518</v>
      </c>
      <c r="C682" t="s">
        <v>1519</v>
      </c>
      <c r="D682" t="s">
        <v>292</v>
      </c>
      <c r="E682" s="1" t="s">
        <v>8</v>
      </c>
      <c r="F682" s="1" t="s">
        <v>141</v>
      </c>
      <c r="G682" t="s">
        <v>1529</v>
      </c>
      <c r="I682" s="16">
        <f>(4400*1.66)</f>
        <v>7304</v>
      </c>
      <c r="K682" t="s">
        <v>155</v>
      </c>
      <c r="N682">
        <v>12</v>
      </c>
      <c r="Q682" t="s">
        <v>155</v>
      </c>
      <c r="T682">
        <v>3300</v>
      </c>
      <c r="W682">
        <v>6</v>
      </c>
      <c r="Z682" t="s">
        <v>155</v>
      </c>
      <c r="AC682" t="s">
        <v>155</v>
      </c>
      <c r="AF682">
        <v>1700</v>
      </c>
      <c r="AJ682" s="16">
        <f>(7.9*1.44)</f>
        <v>11.375999999999999</v>
      </c>
      <c r="AM682" s="16">
        <f>(250*1.23)</f>
        <v>307.5</v>
      </c>
      <c r="AP682" s="16">
        <f>(13*1.24)</f>
        <v>16.12</v>
      </c>
      <c r="AR682" t="s">
        <v>155</v>
      </c>
      <c r="AV682" s="16">
        <f>(180*17.49)</f>
        <v>3148.2</v>
      </c>
      <c r="AX682">
        <v>13</v>
      </c>
      <c r="BB682" s="16">
        <f>(6.4*1.34)</f>
        <v>8.5760000000000005</v>
      </c>
      <c r="BD682">
        <v>10</v>
      </c>
      <c r="BG682" t="s">
        <v>155</v>
      </c>
    </row>
    <row r="683" spans="1:61" x14ac:dyDescent="0.2">
      <c r="A683" t="s">
        <v>1530</v>
      </c>
      <c r="B683" t="s">
        <v>1531</v>
      </c>
      <c r="C683" t="s">
        <v>424</v>
      </c>
      <c r="D683" t="s">
        <v>135</v>
      </c>
      <c r="E683" s="1" t="s">
        <v>8</v>
      </c>
      <c r="F683" s="1" t="s">
        <v>140</v>
      </c>
      <c r="G683" t="s">
        <v>1532</v>
      </c>
      <c r="H683" t="s">
        <v>155</v>
      </c>
      <c r="M683">
        <v>2</v>
      </c>
      <c r="N683">
        <v>15</v>
      </c>
      <c r="S683">
        <v>15</v>
      </c>
      <c r="T683" t="s">
        <v>155</v>
      </c>
      <c r="Y683">
        <v>19</v>
      </c>
      <c r="Z683" t="s">
        <v>155</v>
      </c>
      <c r="AE683">
        <v>10</v>
      </c>
      <c r="AF683" t="s">
        <v>155</v>
      </c>
      <c r="AK683">
        <v>20</v>
      </c>
      <c r="AL683" t="s">
        <v>155</v>
      </c>
      <c r="AO683" t="s">
        <v>155</v>
      </c>
      <c r="AR683" t="s">
        <v>155</v>
      </c>
      <c r="AU683" t="s">
        <v>155</v>
      </c>
      <c r="AX683" t="s">
        <v>155</v>
      </c>
      <c r="BA683" t="s">
        <v>155</v>
      </c>
      <c r="BD683" t="s">
        <v>155</v>
      </c>
      <c r="BI683">
        <v>0.1</v>
      </c>
    </row>
    <row r="684" spans="1:61" x14ac:dyDescent="0.2">
      <c r="A684" t="s">
        <v>1530</v>
      </c>
      <c r="B684" t="s">
        <v>1531</v>
      </c>
      <c r="C684" t="s">
        <v>424</v>
      </c>
      <c r="D684" t="s">
        <v>135</v>
      </c>
      <c r="E684" s="1" t="s">
        <v>8</v>
      </c>
      <c r="F684" s="1" t="s">
        <v>141</v>
      </c>
      <c r="G684" t="s">
        <v>1533</v>
      </c>
      <c r="H684" t="s">
        <v>155</v>
      </c>
      <c r="M684">
        <v>2</v>
      </c>
      <c r="P684">
        <v>8</v>
      </c>
      <c r="S684">
        <v>15</v>
      </c>
      <c r="T684" t="s">
        <v>155</v>
      </c>
      <c r="Y684">
        <v>19</v>
      </c>
      <c r="Z684" t="s">
        <v>155</v>
      </c>
      <c r="AE684">
        <v>10</v>
      </c>
      <c r="AF684" t="s">
        <v>155</v>
      </c>
      <c r="AK684">
        <v>20</v>
      </c>
      <c r="AL684" t="s">
        <v>155</v>
      </c>
      <c r="AO684" t="s">
        <v>155</v>
      </c>
      <c r="AR684" t="s">
        <v>155</v>
      </c>
      <c r="AU684" t="s">
        <v>155</v>
      </c>
      <c r="AX684" t="s">
        <v>155</v>
      </c>
      <c r="BA684" t="s">
        <v>155</v>
      </c>
      <c r="BD684" t="s">
        <v>155</v>
      </c>
      <c r="BI684">
        <v>0.09</v>
      </c>
    </row>
    <row r="685" spans="1:61" ht="16" x14ac:dyDescent="0.2">
      <c r="A685" s="25" t="s">
        <v>1534</v>
      </c>
      <c r="B685" t="s">
        <v>1535</v>
      </c>
      <c r="C685" t="s">
        <v>378</v>
      </c>
      <c r="D685" t="s">
        <v>379</v>
      </c>
      <c r="E685" s="1" t="s">
        <v>168</v>
      </c>
      <c r="F685" s="1" t="s">
        <v>140</v>
      </c>
      <c r="G685" t="s">
        <v>1536</v>
      </c>
      <c r="H685" t="s">
        <v>155</v>
      </c>
      <c r="K685">
        <v>2</v>
      </c>
      <c r="N685" t="s">
        <v>155</v>
      </c>
      <c r="S685">
        <v>9.8000000000000007</v>
      </c>
      <c r="T685" t="s">
        <v>155</v>
      </c>
      <c r="W685">
        <v>18</v>
      </c>
      <c r="Z685" t="s">
        <v>155</v>
      </c>
      <c r="AC685">
        <v>31</v>
      </c>
      <c r="AF685" t="s">
        <v>155</v>
      </c>
      <c r="AI685">
        <v>31</v>
      </c>
      <c r="AL685" t="s">
        <v>155</v>
      </c>
      <c r="AO685" t="s">
        <v>155</v>
      </c>
      <c r="AR685" t="s">
        <v>155</v>
      </c>
      <c r="AU685" t="s">
        <v>155</v>
      </c>
      <c r="AX685" t="s">
        <v>155</v>
      </c>
      <c r="BA685" t="s">
        <v>155</v>
      </c>
      <c r="BD685">
        <v>31</v>
      </c>
      <c r="BG685">
        <v>0.09</v>
      </c>
    </row>
    <row r="686" spans="1:61" ht="16" x14ac:dyDescent="0.2">
      <c r="A686" s="25" t="s">
        <v>1534</v>
      </c>
      <c r="B686" t="s">
        <v>1535</v>
      </c>
      <c r="C686" t="s">
        <v>1537</v>
      </c>
      <c r="D686" t="s">
        <v>379</v>
      </c>
      <c r="E686" s="1" t="s">
        <v>168</v>
      </c>
      <c r="F686" s="1" t="s">
        <v>153</v>
      </c>
      <c r="G686" t="s">
        <v>1538</v>
      </c>
      <c r="H686" t="s">
        <v>155</v>
      </c>
      <c r="M686">
        <v>2</v>
      </c>
      <c r="N686" t="s">
        <v>155</v>
      </c>
      <c r="S686">
        <v>9.8000000000000007</v>
      </c>
      <c r="T686" t="s">
        <v>155</v>
      </c>
      <c r="W686">
        <v>18</v>
      </c>
      <c r="Z686" t="s">
        <v>155</v>
      </c>
      <c r="AC686">
        <v>16</v>
      </c>
      <c r="AF686" t="s">
        <v>155</v>
      </c>
      <c r="AK686">
        <v>20</v>
      </c>
      <c r="AL686" t="s">
        <v>155</v>
      </c>
      <c r="AO686" t="s">
        <v>155</v>
      </c>
      <c r="AR686" t="s">
        <v>155</v>
      </c>
      <c r="AU686" t="s">
        <v>155</v>
      </c>
      <c r="AX686" t="s">
        <v>155</v>
      </c>
      <c r="BA686" t="s">
        <v>155</v>
      </c>
      <c r="BD686">
        <v>18</v>
      </c>
      <c r="BI686">
        <v>0.09</v>
      </c>
    </row>
    <row r="687" spans="1:61" ht="16" x14ac:dyDescent="0.2">
      <c r="A687" s="25" t="s">
        <v>1539</v>
      </c>
      <c r="B687" t="s">
        <v>1540</v>
      </c>
      <c r="C687" t="s">
        <v>1541</v>
      </c>
      <c r="D687" t="s">
        <v>167</v>
      </c>
      <c r="E687" s="1" t="s">
        <v>168</v>
      </c>
      <c r="F687" s="1" t="s">
        <v>153</v>
      </c>
      <c r="G687" t="s">
        <v>1542</v>
      </c>
      <c r="I687" s="16">
        <f>(4300*1.66)</f>
        <v>7138</v>
      </c>
      <c r="M687">
        <v>1.5</v>
      </c>
      <c r="N687">
        <v>60</v>
      </c>
      <c r="Q687" t="s">
        <v>155</v>
      </c>
      <c r="U687" s="16">
        <f>(26000*1.29)</f>
        <v>33540</v>
      </c>
      <c r="X687" s="16">
        <f>(7.2*1.29)</f>
        <v>9.2880000000000003</v>
      </c>
      <c r="AB687">
        <v>7.4</v>
      </c>
      <c r="AC687">
        <v>4.4000000000000004</v>
      </c>
      <c r="AF687">
        <v>3900</v>
      </c>
      <c r="AI687" t="s">
        <v>155</v>
      </c>
      <c r="AN687">
        <v>740</v>
      </c>
      <c r="AO687">
        <v>28</v>
      </c>
      <c r="AR687" t="s">
        <v>155</v>
      </c>
      <c r="AW687">
        <v>740</v>
      </c>
      <c r="AZ687">
        <v>740</v>
      </c>
      <c r="BA687">
        <v>12</v>
      </c>
      <c r="BD687">
        <v>15</v>
      </c>
      <c r="BG687" t="s">
        <v>155</v>
      </c>
    </row>
    <row r="688" spans="1:61" ht="16" x14ac:dyDescent="0.2">
      <c r="A688" s="25" t="s">
        <v>1539</v>
      </c>
      <c r="B688" t="s">
        <v>1540</v>
      </c>
      <c r="C688" t="s">
        <v>1541</v>
      </c>
      <c r="D688" t="s">
        <v>167</v>
      </c>
      <c r="E688" s="1" t="s">
        <v>168</v>
      </c>
      <c r="F688" s="1" t="s">
        <v>153</v>
      </c>
      <c r="G688" t="s">
        <v>1543</v>
      </c>
      <c r="I688" s="16">
        <f>(2900*1.66)</f>
        <v>4814</v>
      </c>
      <c r="K688" t="s">
        <v>155</v>
      </c>
      <c r="N688">
        <v>29</v>
      </c>
      <c r="Q688" t="s">
        <v>155</v>
      </c>
      <c r="V688">
        <v>610</v>
      </c>
      <c r="X688" s="16">
        <f>(5.9*1.29)</f>
        <v>7.6110000000000007</v>
      </c>
      <c r="AB688">
        <v>6.1</v>
      </c>
      <c r="AE688">
        <v>3</v>
      </c>
      <c r="AF688">
        <v>1700</v>
      </c>
      <c r="AI688" t="s">
        <v>155</v>
      </c>
      <c r="AN688">
        <v>610</v>
      </c>
      <c r="AO688">
        <v>82</v>
      </c>
      <c r="AR688" t="s">
        <v>155</v>
      </c>
      <c r="AW688">
        <v>610</v>
      </c>
      <c r="AZ688">
        <v>610</v>
      </c>
      <c r="BA688">
        <v>12</v>
      </c>
      <c r="BF688">
        <v>7.3</v>
      </c>
      <c r="BG688" t="s">
        <v>155</v>
      </c>
    </row>
    <row r="689" spans="1:61" ht="16" x14ac:dyDescent="0.2">
      <c r="A689" s="25" t="s">
        <v>1539</v>
      </c>
      <c r="B689" t="s">
        <v>1540</v>
      </c>
      <c r="C689" t="s">
        <v>1541</v>
      </c>
      <c r="D689" t="s">
        <v>167</v>
      </c>
      <c r="E689" s="1" t="s">
        <v>168</v>
      </c>
      <c r="F689" s="1" t="s">
        <v>153</v>
      </c>
      <c r="G689" t="s">
        <v>1544</v>
      </c>
      <c r="I689" s="16">
        <f>(19000*1.66)</f>
        <v>31540</v>
      </c>
      <c r="K689">
        <v>2.8</v>
      </c>
      <c r="N689">
        <v>180</v>
      </c>
      <c r="Q689" t="s">
        <v>155</v>
      </c>
      <c r="V689">
        <v>770</v>
      </c>
      <c r="X689" s="16">
        <f>(23*1.29)</f>
        <v>29.67</v>
      </c>
      <c r="AB689">
        <v>7.7</v>
      </c>
      <c r="AC689">
        <v>12</v>
      </c>
      <c r="AF689">
        <v>9300</v>
      </c>
      <c r="AI689" t="s">
        <v>155</v>
      </c>
      <c r="AN689">
        <v>560</v>
      </c>
      <c r="AO689">
        <v>170</v>
      </c>
      <c r="AR689" t="s">
        <v>155</v>
      </c>
      <c r="AW689">
        <v>770</v>
      </c>
      <c r="AZ689">
        <v>770</v>
      </c>
      <c r="BA689">
        <v>48</v>
      </c>
      <c r="BD689">
        <v>31</v>
      </c>
      <c r="BG689" t="s">
        <v>155</v>
      </c>
    </row>
    <row r="690" spans="1:61" x14ac:dyDescent="0.2">
      <c r="A690" t="s">
        <v>1545</v>
      </c>
      <c r="B690" t="s">
        <v>1546</v>
      </c>
      <c r="C690" t="s">
        <v>647</v>
      </c>
      <c r="D690" t="s">
        <v>275</v>
      </c>
      <c r="E690" s="1" t="s">
        <v>8</v>
      </c>
      <c r="F690" s="1" t="s">
        <v>1547</v>
      </c>
      <c r="G690" t="s">
        <v>509</v>
      </c>
      <c r="H690" t="s">
        <v>155</v>
      </c>
      <c r="K690">
        <v>1.5</v>
      </c>
      <c r="N690" t="s">
        <v>155</v>
      </c>
      <c r="Q690" t="s">
        <v>155</v>
      </c>
      <c r="T690" t="s">
        <v>155</v>
      </c>
      <c r="W690">
        <v>19</v>
      </c>
      <c r="Z690" t="s">
        <v>155</v>
      </c>
      <c r="AC690">
        <v>16</v>
      </c>
      <c r="AF690" t="s">
        <v>155</v>
      </c>
      <c r="AI690">
        <v>11</v>
      </c>
      <c r="AL690" t="s">
        <v>155</v>
      </c>
      <c r="AO690" t="s">
        <v>155</v>
      </c>
      <c r="AR690">
        <v>7.1</v>
      </c>
      <c r="AU690" t="s">
        <v>155</v>
      </c>
      <c r="AX690" t="s">
        <v>155</v>
      </c>
      <c r="BA690" t="s">
        <v>155</v>
      </c>
      <c r="BD690">
        <v>44</v>
      </c>
      <c r="BG690" t="s">
        <v>155</v>
      </c>
    </row>
    <row r="691" spans="1:61" x14ac:dyDescent="0.2">
      <c r="A691" t="s">
        <v>1548</v>
      </c>
      <c r="B691" t="s">
        <v>1549</v>
      </c>
      <c r="C691" t="s">
        <v>1550</v>
      </c>
      <c r="D691" t="s">
        <v>513</v>
      </c>
      <c r="F691" s="1" t="s">
        <v>140</v>
      </c>
      <c r="G691" t="s">
        <v>1551</v>
      </c>
      <c r="H691" t="s">
        <v>155</v>
      </c>
      <c r="M691">
        <v>2</v>
      </c>
      <c r="P691">
        <v>8</v>
      </c>
      <c r="S691">
        <v>16</v>
      </c>
      <c r="T691" t="s">
        <v>155</v>
      </c>
      <c r="Y691">
        <v>38</v>
      </c>
      <c r="Z691" t="s">
        <v>155</v>
      </c>
      <c r="AC691" t="s">
        <v>155</v>
      </c>
      <c r="AF691" t="s">
        <v>155</v>
      </c>
      <c r="AK691">
        <v>19</v>
      </c>
      <c r="AL691" t="s">
        <v>155</v>
      </c>
      <c r="AO691" t="s">
        <v>155</v>
      </c>
      <c r="AT691">
        <v>9</v>
      </c>
      <c r="AU691" t="s">
        <v>155</v>
      </c>
      <c r="AX691" t="s">
        <v>155</v>
      </c>
      <c r="BA691" t="s">
        <v>155</v>
      </c>
      <c r="BD691" t="s">
        <v>155</v>
      </c>
      <c r="BI691">
        <v>0.1</v>
      </c>
    </row>
    <row r="692" spans="1:61" x14ac:dyDescent="0.2">
      <c r="A692" t="s">
        <v>1548</v>
      </c>
      <c r="B692" t="s">
        <v>1549</v>
      </c>
      <c r="C692" t="s">
        <v>1550</v>
      </c>
      <c r="D692" t="s">
        <v>513</v>
      </c>
      <c r="F692" s="1" t="s">
        <v>140</v>
      </c>
      <c r="G692" t="s">
        <v>1552</v>
      </c>
      <c r="H692" t="s">
        <v>155</v>
      </c>
      <c r="M692">
        <v>2</v>
      </c>
      <c r="P692">
        <v>8</v>
      </c>
      <c r="S692">
        <v>16</v>
      </c>
      <c r="T692" s="13" t="s">
        <v>155</v>
      </c>
      <c r="Y692">
        <v>4</v>
      </c>
      <c r="Z692" t="s">
        <v>155</v>
      </c>
      <c r="AC692" t="s">
        <v>155</v>
      </c>
      <c r="AF692" t="s">
        <v>155</v>
      </c>
      <c r="AK692">
        <v>2</v>
      </c>
      <c r="AL692" t="s">
        <v>155</v>
      </c>
      <c r="AO692" t="s">
        <v>155</v>
      </c>
      <c r="AT692">
        <v>10</v>
      </c>
      <c r="AU692" t="s">
        <v>155</v>
      </c>
      <c r="AX692" t="s">
        <v>155</v>
      </c>
      <c r="BA692" t="s">
        <v>155</v>
      </c>
      <c r="BD692" t="s">
        <v>155</v>
      </c>
      <c r="BI692">
        <v>0.09</v>
      </c>
    </row>
    <row r="693" spans="1:61" ht="16" x14ac:dyDescent="0.2">
      <c r="A693" s="25" t="s">
        <v>1553</v>
      </c>
      <c r="B693" t="s">
        <v>1554</v>
      </c>
      <c r="C693" t="s">
        <v>647</v>
      </c>
      <c r="D693" t="s">
        <v>275</v>
      </c>
      <c r="E693" s="1" t="s">
        <v>8</v>
      </c>
      <c r="F693" s="1" t="s">
        <v>140</v>
      </c>
      <c r="G693" t="s">
        <v>1555</v>
      </c>
      <c r="H693" t="s">
        <v>155</v>
      </c>
      <c r="M693">
        <v>4</v>
      </c>
      <c r="N693">
        <v>141</v>
      </c>
      <c r="S693">
        <v>4</v>
      </c>
      <c r="T693" t="s">
        <v>155</v>
      </c>
      <c r="W693">
        <v>26</v>
      </c>
      <c r="Z693">
        <v>10</v>
      </c>
      <c r="AC693">
        <v>28</v>
      </c>
      <c r="AF693">
        <v>26521</v>
      </c>
      <c r="AI693">
        <v>52</v>
      </c>
      <c r="AL693" t="s">
        <v>155</v>
      </c>
      <c r="AO693">
        <v>509</v>
      </c>
      <c r="AR693">
        <v>16</v>
      </c>
      <c r="AU693" t="s">
        <v>155</v>
      </c>
      <c r="AX693" t="s">
        <v>155</v>
      </c>
      <c r="BA693" t="s">
        <v>155</v>
      </c>
      <c r="BD693">
        <v>143</v>
      </c>
      <c r="BI693">
        <v>0.1</v>
      </c>
    </row>
    <row r="694" spans="1:61" ht="16" x14ac:dyDescent="0.2">
      <c r="A694" s="25" t="s">
        <v>1553</v>
      </c>
      <c r="B694" t="s">
        <v>1554</v>
      </c>
      <c r="C694" t="s">
        <v>647</v>
      </c>
      <c r="D694" t="s">
        <v>275</v>
      </c>
      <c r="E694" s="1" t="s">
        <v>8</v>
      </c>
      <c r="F694" s="1" t="s">
        <v>153</v>
      </c>
      <c r="G694" t="s">
        <v>1556</v>
      </c>
      <c r="H694" t="s">
        <v>155</v>
      </c>
      <c r="M694">
        <v>4</v>
      </c>
      <c r="N694">
        <v>126</v>
      </c>
      <c r="S694">
        <v>4</v>
      </c>
      <c r="T694" t="s">
        <v>155</v>
      </c>
      <c r="W694">
        <v>22</v>
      </c>
      <c r="Z694">
        <v>10</v>
      </c>
      <c r="AC694">
        <v>30</v>
      </c>
      <c r="AF694">
        <v>23307</v>
      </c>
      <c r="AI694">
        <v>16</v>
      </c>
      <c r="AL694" t="s">
        <v>155</v>
      </c>
      <c r="AO694">
        <v>384</v>
      </c>
      <c r="AR694">
        <v>14</v>
      </c>
      <c r="AU694" t="s">
        <v>155</v>
      </c>
      <c r="AX694" t="s">
        <v>155</v>
      </c>
      <c r="BA694" t="s">
        <v>155</v>
      </c>
      <c r="BD694">
        <v>124</v>
      </c>
      <c r="BI694">
        <v>0.1</v>
      </c>
    </row>
    <row r="695" spans="1:61" ht="16" x14ac:dyDescent="0.2">
      <c r="A695" s="25" t="s">
        <v>1553</v>
      </c>
      <c r="B695" t="s">
        <v>1554</v>
      </c>
      <c r="C695" t="s">
        <v>647</v>
      </c>
      <c r="D695" t="s">
        <v>275</v>
      </c>
      <c r="E695" s="1" t="s">
        <v>8</v>
      </c>
      <c r="F695" s="1" t="s">
        <v>153</v>
      </c>
      <c r="G695" t="s">
        <v>1557</v>
      </c>
      <c r="H695" t="s">
        <v>155</v>
      </c>
      <c r="M695">
        <v>4</v>
      </c>
      <c r="N695">
        <v>126</v>
      </c>
      <c r="S695">
        <v>4</v>
      </c>
      <c r="T695" t="s">
        <v>155</v>
      </c>
      <c r="W695">
        <v>22</v>
      </c>
      <c r="Z695">
        <v>10</v>
      </c>
      <c r="AC695">
        <v>30</v>
      </c>
      <c r="AF695">
        <v>22854</v>
      </c>
      <c r="AI695">
        <v>20</v>
      </c>
      <c r="AL695" t="s">
        <v>155</v>
      </c>
      <c r="AO695">
        <v>393</v>
      </c>
      <c r="AR695">
        <v>16</v>
      </c>
      <c r="AU695" t="s">
        <v>155</v>
      </c>
      <c r="AX695" t="s">
        <v>155</v>
      </c>
      <c r="BA695" t="s">
        <v>155</v>
      </c>
      <c r="BD695">
        <v>148</v>
      </c>
      <c r="BI695">
        <v>0.1</v>
      </c>
    </row>
    <row r="696" spans="1:61" x14ac:dyDescent="0.2">
      <c r="A696" s="10" t="s">
        <v>1558</v>
      </c>
      <c r="B696" s="10" t="s">
        <v>1559</v>
      </c>
      <c r="C696" s="10" t="s">
        <v>420</v>
      </c>
      <c r="D696" s="10" t="s">
        <v>132</v>
      </c>
      <c r="E696" s="11" t="s">
        <v>8</v>
      </c>
      <c r="F696" s="11" t="s">
        <v>140</v>
      </c>
      <c r="G696" s="10" t="s">
        <v>1560</v>
      </c>
      <c r="H696">
        <v>11000</v>
      </c>
      <c r="M696">
        <v>1.3</v>
      </c>
      <c r="N696">
        <v>17</v>
      </c>
      <c r="S696">
        <v>7.0000000000000007E-2</v>
      </c>
      <c r="V696">
        <v>600</v>
      </c>
      <c r="W696">
        <v>7.9</v>
      </c>
      <c r="AB696">
        <v>0.89</v>
      </c>
      <c r="AE696">
        <v>3.4</v>
      </c>
      <c r="AF696">
        <v>8200</v>
      </c>
      <c r="AJ696" s="16">
        <f>(5.8*1.44)</f>
        <v>8.3520000000000003</v>
      </c>
      <c r="AL696">
        <v>180</v>
      </c>
      <c r="AO696">
        <v>37</v>
      </c>
      <c r="AR696">
        <v>2</v>
      </c>
      <c r="AU696">
        <v>240</v>
      </c>
      <c r="AZ696">
        <v>36</v>
      </c>
      <c r="BA696">
        <v>20</v>
      </c>
      <c r="BD696">
        <v>7.4</v>
      </c>
      <c r="BI696">
        <v>0.05</v>
      </c>
    </row>
    <row r="697" spans="1:61" x14ac:dyDescent="0.2">
      <c r="A697" s="10" t="s">
        <v>1558</v>
      </c>
      <c r="B697" s="10" t="s">
        <v>1559</v>
      </c>
      <c r="C697" s="10" t="s">
        <v>420</v>
      </c>
      <c r="D697" s="10" t="s">
        <v>132</v>
      </c>
      <c r="E697" s="11" t="s">
        <v>8</v>
      </c>
      <c r="F697" s="11" t="s">
        <v>141</v>
      </c>
      <c r="G697" s="10" t="s">
        <v>1561</v>
      </c>
      <c r="H697">
        <v>33000</v>
      </c>
      <c r="K697">
        <v>3.2</v>
      </c>
      <c r="N697">
        <v>18</v>
      </c>
      <c r="S697">
        <v>7.0000000000000007E-2</v>
      </c>
      <c r="V697">
        <v>640</v>
      </c>
      <c r="W697">
        <v>19</v>
      </c>
      <c r="AB697">
        <v>1.5</v>
      </c>
      <c r="AE697">
        <v>2.7</v>
      </c>
      <c r="AF697">
        <v>29000</v>
      </c>
      <c r="AJ697" s="16">
        <f>(10*1.44)</f>
        <v>14.399999999999999</v>
      </c>
      <c r="AL697">
        <v>450</v>
      </c>
      <c r="AO697">
        <v>47</v>
      </c>
      <c r="AR697">
        <v>4</v>
      </c>
      <c r="AU697">
        <v>570</v>
      </c>
      <c r="AZ697">
        <v>38</v>
      </c>
      <c r="BA697">
        <v>69</v>
      </c>
      <c r="BD697">
        <v>11</v>
      </c>
      <c r="BI697">
        <v>0.06</v>
      </c>
    </row>
    <row r="698" spans="1:61" x14ac:dyDescent="0.2">
      <c r="A698" s="10" t="s">
        <v>1558</v>
      </c>
      <c r="B698" s="10" t="s">
        <v>1559</v>
      </c>
      <c r="C698" s="10" t="s">
        <v>420</v>
      </c>
      <c r="D698" s="10" t="s">
        <v>132</v>
      </c>
      <c r="E698" s="11" t="s">
        <v>8</v>
      </c>
      <c r="F698" s="11" t="s">
        <v>140</v>
      </c>
      <c r="G698" s="33" t="s">
        <v>1562</v>
      </c>
      <c r="H698">
        <v>13000</v>
      </c>
      <c r="M698">
        <v>1.2</v>
      </c>
      <c r="N698">
        <v>25</v>
      </c>
      <c r="S698">
        <v>0.17</v>
      </c>
      <c r="T698">
        <v>780</v>
      </c>
      <c r="W698">
        <v>13</v>
      </c>
      <c r="AB698">
        <v>1.7</v>
      </c>
      <c r="AD698" s="16">
        <f>(7.1*1.22)</f>
        <v>8.661999999999999</v>
      </c>
      <c r="AF698">
        <v>22000</v>
      </c>
      <c r="AI698">
        <v>24</v>
      </c>
      <c r="AL698">
        <v>500</v>
      </c>
      <c r="AO698">
        <v>100</v>
      </c>
      <c r="AR698">
        <v>3.9</v>
      </c>
      <c r="AU698">
        <v>460</v>
      </c>
      <c r="AX698">
        <v>160</v>
      </c>
      <c r="BA698">
        <v>58</v>
      </c>
      <c r="BE698" s="16">
        <f>(19*1.5)</f>
        <v>28.5</v>
      </c>
      <c r="BI698">
        <v>0.06</v>
      </c>
    </row>
    <row r="699" spans="1:61" x14ac:dyDescent="0.2">
      <c r="A699" s="10" t="s">
        <v>1558</v>
      </c>
      <c r="B699" s="10" t="s">
        <v>1559</v>
      </c>
      <c r="C699" s="10" t="s">
        <v>420</v>
      </c>
      <c r="D699" s="10" t="s">
        <v>132</v>
      </c>
      <c r="E699" s="11" t="s">
        <v>8</v>
      </c>
      <c r="F699" s="11" t="s">
        <v>140</v>
      </c>
      <c r="G699" s="10" t="s">
        <v>1563</v>
      </c>
      <c r="H699">
        <v>20000</v>
      </c>
      <c r="L699" s="16">
        <f>(2.7*1.74)</f>
        <v>4.6980000000000004</v>
      </c>
      <c r="N699">
        <v>20</v>
      </c>
      <c r="S699">
        <v>0.18</v>
      </c>
      <c r="T699">
        <v>880</v>
      </c>
      <c r="W699">
        <v>16</v>
      </c>
      <c r="AB699">
        <v>1.8</v>
      </c>
      <c r="AD699" s="16">
        <f>(6.5*1.22)</f>
        <v>7.93</v>
      </c>
      <c r="AF699">
        <v>29000</v>
      </c>
      <c r="AI699">
        <v>9.4</v>
      </c>
      <c r="AL699">
        <v>410</v>
      </c>
      <c r="AO699">
        <v>70</v>
      </c>
      <c r="AR699">
        <v>2.2999999999999998</v>
      </c>
      <c r="AU699">
        <v>540</v>
      </c>
      <c r="AX699">
        <v>140</v>
      </c>
      <c r="BA699">
        <v>75</v>
      </c>
      <c r="BE699" s="16">
        <f>(14*1.5)</f>
        <v>21</v>
      </c>
      <c r="BI699">
        <v>7.0000000000000007E-2</v>
      </c>
    </row>
    <row r="700" spans="1:61" x14ac:dyDescent="0.2">
      <c r="A700" s="10" t="s">
        <v>1558</v>
      </c>
      <c r="B700" s="10" t="s">
        <v>1559</v>
      </c>
      <c r="C700" s="10" t="s">
        <v>420</v>
      </c>
      <c r="D700" s="10" t="s">
        <v>132</v>
      </c>
      <c r="E700" s="11" t="s">
        <v>8</v>
      </c>
      <c r="F700" s="11" t="s">
        <v>141</v>
      </c>
      <c r="G700" s="10" t="s">
        <v>1564</v>
      </c>
      <c r="H700">
        <v>8100</v>
      </c>
      <c r="M700">
        <v>1.2</v>
      </c>
      <c r="N700">
        <v>10</v>
      </c>
      <c r="S700">
        <v>0.17</v>
      </c>
      <c r="T700">
        <v>150</v>
      </c>
      <c r="W700">
        <v>6.3</v>
      </c>
      <c r="AB700">
        <v>1.7</v>
      </c>
      <c r="AD700" s="16">
        <f>(9.5*1.22)</f>
        <v>11.59</v>
      </c>
      <c r="AF700">
        <v>19000</v>
      </c>
      <c r="AI700">
        <v>12</v>
      </c>
      <c r="AL700">
        <v>280</v>
      </c>
      <c r="AO700">
        <v>96</v>
      </c>
      <c r="AR700">
        <v>2</v>
      </c>
      <c r="AU700">
        <v>210</v>
      </c>
      <c r="AX700">
        <v>120</v>
      </c>
      <c r="BA700">
        <v>56</v>
      </c>
      <c r="BE700" s="16">
        <f>(14*1.5)</f>
        <v>21</v>
      </c>
      <c r="BI700">
        <v>0.06</v>
      </c>
    </row>
    <row r="701" spans="1:61" x14ac:dyDescent="0.2">
      <c r="A701" s="10" t="s">
        <v>1558</v>
      </c>
      <c r="B701" s="10" t="s">
        <v>1559</v>
      </c>
      <c r="C701" s="10" t="s">
        <v>420</v>
      </c>
      <c r="D701" s="10" t="s">
        <v>132</v>
      </c>
      <c r="E701" s="11" t="s">
        <v>8</v>
      </c>
      <c r="F701" s="11" t="s">
        <v>141</v>
      </c>
      <c r="G701" s="10" t="s">
        <v>1565</v>
      </c>
      <c r="H701">
        <v>9800</v>
      </c>
      <c r="K701">
        <v>1.6</v>
      </c>
      <c r="N701">
        <v>10</v>
      </c>
      <c r="S701">
        <v>0.18</v>
      </c>
      <c r="T701">
        <v>78</v>
      </c>
      <c r="W701">
        <v>9.9</v>
      </c>
      <c r="AB701">
        <v>1.8</v>
      </c>
      <c r="AD701" s="16">
        <f>(3.5*1.22)</f>
        <v>4.2699999999999996</v>
      </c>
      <c r="AF701">
        <v>24000</v>
      </c>
      <c r="AI701">
        <v>12</v>
      </c>
      <c r="AL701">
        <v>170</v>
      </c>
      <c r="AO701">
        <v>82</v>
      </c>
      <c r="AT701">
        <v>1.4</v>
      </c>
      <c r="AU701">
        <v>250</v>
      </c>
      <c r="AX701">
        <v>120</v>
      </c>
      <c r="BA701">
        <v>66</v>
      </c>
      <c r="BE701" s="16">
        <f>(7.1*1.5)</f>
        <v>10.649999999999999</v>
      </c>
      <c r="BI701">
        <v>0.08</v>
      </c>
    </row>
    <row r="702" spans="1:61" x14ac:dyDescent="0.2">
      <c r="A702" t="s">
        <v>1558</v>
      </c>
      <c r="B702" t="s">
        <v>1559</v>
      </c>
      <c r="C702" t="s">
        <v>420</v>
      </c>
      <c r="D702" t="s">
        <v>132</v>
      </c>
      <c r="E702" s="1" t="s">
        <v>8</v>
      </c>
      <c r="F702" s="1" t="s">
        <v>153</v>
      </c>
      <c r="G702" t="s">
        <v>1566</v>
      </c>
      <c r="H702">
        <v>11000</v>
      </c>
      <c r="M702">
        <v>1.3</v>
      </c>
      <c r="N702">
        <v>30</v>
      </c>
      <c r="Q702" t="s">
        <v>155</v>
      </c>
      <c r="T702">
        <v>200</v>
      </c>
      <c r="W702" t="s">
        <v>155</v>
      </c>
      <c r="AB702">
        <v>1.7</v>
      </c>
      <c r="AD702" s="16">
        <f>(2.3*1.22)</f>
        <v>2.8059999999999996</v>
      </c>
      <c r="AF702">
        <v>7700</v>
      </c>
      <c r="AI702">
        <v>6.2</v>
      </c>
      <c r="AL702">
        <v>890</v>
      </c>
      <c r="AO702">
        <v>40</v>
      </c>
      <c r="AR702">
        <v>2.2000000000000002</v>
      </c>
      <c r="AU702">
        <v>870</v>
      </c>
      <c r="AX702">
        <v>200</v>
      </c>
      <c r="BA702">
        <v>25</v>
      </c>
      <c r="BE702" s="16">
        <f>(7.4*1.5)</f>
        <v>11.100000000000001</v>
      </c>
      <c r="BG702" t="s">
        <v>155</v>
      </c>
    </row>
    <row r="703" spans="1:61" x14ac:dyDescent="0.2">
      <c r="A703" s="10" t="s">
        <v>1567</v>
      </c>
      <c r="B703" s="10" t="s">
        <v>1568</v>
      </c>
      <c r="C703" s="10" t="s">
        <v>204</v>
      </c>
      <c r="D703" s="10" t="s">
        <v>204</v>
      </c>
      <c r="E703" s="11" t="s">
        <v>8</v>
      </c>
      <c r="F703" s="11" t="s">
        <v>153</v>
      </c>
      <c r="G703" s="10" t="s">
        <v>1569</v>
      </c>
      <c r="I703" s="16">
        <v>2300</v>
      </c>
      <c r="K703">
        <v>0.96</v>
      </c>
      <c r="N703">
        <v>19</v>
      </c>
      <c r="S703">
        <v>9.9000000000000005E-2</v>
      </c>
      <c r="U703" s="16">
        <v>1400</v>
      </c>
      <c r="W703">
        <v>4.2</v>
      </c>
      <c r="Z703">
        <v>1.7</v>
      </c>
      <c r="AC703">
        <v>5.8</v>
      </c>
      <c r="AF703">
        <v>6700</v>
      </c>
      <c r="AI703">
        <v>27</v>
      </c>
      <c r="AM703" s="16">
        <v>12000</v>
      </c>
      <c r="AO703">
        <v>64</v>
      </c>
      <c r="AR703">
        <v>5.0999999999999996</v>
      </c>
      <c r="AU703">
        <v>120</v>
      </c>
      <c r="AX703">
        <v>150</v>
      </c>
      <c r="BA703">
        <v>4.7</v>
      </c>
      <c r="BD703">
        <v>28</v>
      </c>
      <c r="BI703">
        <v>4.7E-2</v>
      </c>
    </row>
    <row r="704" spans="1:61" x14ac:dyDescent="0.2">
      <c r="A704" s="10" t="s">
        <v>1567</v>
      </c>
      <c r="B704" s="10" t="s">
        <v>1568</v>
      </c>
      <c r="C704" s="10" t="s">
        <v>204</v>
      </c>
      <c r="D704" s="10" t="s">
        <v>204</v>
      </c>
      <c r="E704" s="11" t="s">
        <v>8</v>
      </c>
      <c r="F704" s="11" t="s">
        <v>153</v>
      </c>
      <c r="G704" s="10" t="s">
        <v>1570</v>
      </c>
      <c r="H704">
        <v>2900</v>
      </c>
      <c r="K704">
        <v>0.69</v>
      </c>
      <c r="N704">
        <v>26</v>
      </c>
      <c r="S704">
        <v>9.9000000000000005E-2</v>
      </c>
      <c r="T704">
        <v>1900</v>
      </c>
      <c r="W704">
        <v>4</v>
      </c>
      <c r="Z704">
        <v>3.5</v>
      </c>
      <c r="AC704">
        <v>14</v>
      </c>
      <c r="AF704">
        <v>7700</v>
      </c>
      <c r="AI704">
        <v>21</v>
      </c>
      <c r="AL704">
        <v>3100</v>
      </c>
      <c r="AO704">
        <v>100</v>
      </c>
      <c r="AR704">
        <v>13</v>
      </c>
      <c r="AU704">
        <v>220</v>
      </c>
      <c r="AX704">
        <v>280</v>
      </c>
      <c r="BA704">
        <v>7.5</v>
      </c>
      <c r="BD704">
        <v>48</v>
      </c>
      <c r="BI704">
        <v>4.7E-2</v>
      </c>
    </row>
    <row r="705" spans="1:61" x14ac:dyDescent="0.2">
      <c r="A705" s="10" t="s">
        <v>1567</v>
      </c>
      <c r="B705" s="10" t="s">
        <v>1568</v>
      </c>
      <c r="C705" s="10" t="s">
        <v>204</v>
      </c>
      <c r="D705" s="10" t="s">
        <v>204</v>
      </c>
      <c r="E705" s="11" t="s">
        <v>8</v>
      </c>
      <c r="F705" s="11" t="s">
        <v>153</v>
      </c>
      <c r="G705" s="10" t="s">
        <v>1571</v>
      </c>
      <c r="H705">
        <v>2700</v>
      </c>
      <c r="K705">
        <v>0.81</v>
      </c>
      <c r="N705">
        <v>18</v>
      </c>
      <c r="S705">
        <v>0.1</v>
      </c>
      <c r="T705">
        <v>1500</v>
      </c>
      <c r="W705">
        <v>4.8</v>
      </c>
      <c r="Z705">
        <v>4.4000000000000004</v>
      </c>
      <c r="AC705">
        <v>6.8</v>
      </c>
      <c r="AF705">
        <v>7800</v>
      </c>
      <c r="AI705">
        <v>11</v>
      </c>
      <c r="AL705">
        <v>3700</v>
      </c>
      <c r="AO705">
        <v>150</v>
      </c>
      <c r="AR705">
        <v>16</v>
      </c>
      <c r="AU705">
        <v>240</v>
      </c>
      <c r="AX705">
        <v>160</v>
      </c>
      <c r="BA705">
        <v>10</v>
      </c>
      <c r="BD705">
        <v>29</v>
      </c>
      <c r="BI705">
        <v>4.8000000000000001E-2</v>
      </c>
    </row>
    <row r="706" spans="1:61" x14ac:dyDescent="0.2">
      <c r="A706" t="s">
        <v>1572</v>
      </c>
      <c r="B706" t="s">
        <v>1573</v>
      </c>
      <c r="C706" t="s">
        <v>291</v>
      </c>
      <c r="D706" t="s">
        <v>292</v>
      </c>
      <c r="E706" s="1" t="s">
        <v>8</v>
      </c>
      <c r="F706" s="1" t="s">
        <v>140</v>
      </c>
      <c r="G706" t="s">
        <v>690</v>
      </c>
      <c r="H706">
        <v>990</v>
      </c>
      <c r="L706" s="16">
        <f>(1.8*1.74)</f>
        <v>3.1320000000000001</v>
      </c>
      <c r="N706">
        <v>8.8000000000000007</v>
      </c>
      <c r="Q706" t="s">
        <v>155</v>
      </c>
      <c r="U706" s="16">
        <f>(1200*1.29)</f>
        <v>1548</v>
      </c>
      <c r="W706">
        <v>3.6</v>
      </c>
      <c r="Z706" t="s">
        <v>155</v>
      </c>
      <c r="AC706">
        <v>19</v>
      </c>
      <c r="AG706" s="16">
        <f>(2000*1.34)</f>
        <v>2680</v>
      </c>
      <c r="AJ706" s="16">
        <f>(25*1.44)</f>
        <v>36</v>
      </c>
      <c r="AL706">
        <v>220</v>
      </c>
      <c r="AO706">
        <v>11</v>
      </c>
      <c r="AS706" s="16">
        <f>(1.3*1.35)</f>
        <v>1.7550000000000001</v>
      </c>
      <c r="AU706">
        <v>220</v>
      </c>
      <c r="AX706">
        <v>26</v>
      </c>
      <c r="BB706" s="16">
        <f>(4.3*1.34)</f>
        <v>5.7620000000000005</v>
      </c>
      <c r="BD706">
        <v>11</v>
      </c>
      <c r="BG706" t="s">
        <v>155</v>
      </c>
    </row>
    <row r="707" spans="1:61" x14ac:dyDescent="0.2">
      <c r="A707" t="s">
        <v>1572</v>
      </c>
      <c r="B707" t="s">
        <v>1573</v>
      </c>
      <c r="C707" t="s">
        <v>291</v>
      </c>
      <c r="D707" t="s">
        <v>292</v>
      </c>
      <c r="E707" s="1" t="s">
        <v>8</v>
      </c>
      <c r="F707" s="1" t="s">
        <v>140</v>
      </c>
      <c r="G707" t="s">
        <v>925</v>
      </c>
      <c r="H707">
        <v>2400</v>
      </c>
      <c r="L707" s="16">
        <f>(56*1.74)</f>
        <v>97.44</v>
      </c>
      <c r="N707">
        <v>27</v>
      </c>
      <c r="Q707" t="s">
        <v>155</v>
      </c>
      <c r="U707" s="16">
        <f>(580*1.29)</f>
        <v>748.2</v>
      </c>
      <c r="X707" s="16">
        <f>(3.5*1.29)</f>
        <v>4.5150000000000006</v>
      </c>
      <c r="AA707" s="16">
        <f>(1.4*1.25)</f>
        <v>1.75</v>
      </c>
      <c r="AC707">
        <v>24</v>
      </c>
      <c r="AG707" s="16">
        <f>(5000*1.34)</f>
        <v>6700</v>
      </c>
      <c r="AJ707" s="16">
        <f>(54*1.44)</f>
        <v>77.759999999999991</v>
      </c>
      <c r="AL707">
        <v>220</v>
      </c>
      <c r="AO707">
        <v>60</v>
      </c>
      <c r="AS707" s="16">
        <f>(3.3*1.35)</f>
        <v>4.4550000000000001</v>
      </c>
      <c r="AU707">
        <v>170</v>
      </c>
      <c r="AY707" s="16">
        <f>(16*25.43)</f>
        <v>406.88</v>
      </c>
      <c r="BB707" s="16">
        <f>(4.7*1.34)</f>
        <v>6.2980000000000009</v>
      </c>
      <c r="BD707">
        <v>18</v>
      </c>
      <c r="BG707" t="s">
        <v>155</v>
      </c>
    </row>
    <row r="708" spans="1:61" x14ac:dyDescent="0.2">
      <c r="A708" t="s">
        <v>1572</v>
      </c>
      <c r="B708" t="s">
        <v>1573</v>
      </c>
      <c r="C708" t="s">
        <v>291</v>
      </c>
      <c r="D708" t="s">
        <v>292</v>
      </c>
      <c r="E708" s="1" t="s">
        <v>8</v>
      </c>
      <c r="F708" s="1" t="s">
        <v>140</v>
      </c>
      <c r="G708" t="s">
        <v>1574</v>
      </c>
      <c r="H708">
        <v>4700</v>
      </c>
      <c r="K708">
        <v>5.4</v>
      </c>
      <c r="N708">
        <v>43</v>
      </c>
      <c r="Q708" t="s">
        <v>155</v>
      </c>
      <c r="T708">
        <v>4800</v>
      </c>
      <c r="W708">
        <v>5.9</v>
      </c>
      <c r="AA708" s="16">
        <f>(1.8*1.25)</f>
        <v>2.25</v>
      </c>
      <c r="AC708">
        <v>24</v>
      </c>
      <c r="AF708">
        <v>6600</v>
      </c>
      <c r="AI708">
        <v>100</v>
      </c>
      <c r="AL708">
        <v>640</v>
      </c>
      <c r="AO708">
        <v>65</v>
      </c>
      <c r="AR708" t="s">
        <v>155</v>
      </c>
      <c r="AU708">
        <v>300</v>
      </c>
      <c r="AX708">
        <v>270</v>
      </c>
      <c r="BA708">
        <v>12</v>
      </c>
      <c r="BD708">
        <v>100</v>
      </c>
      <c r="BG708" t="s">
        <v>155</v>
      </c>
    </row>
    <row r="709" spans="1:61" x14ac:dyDescent="0.2">
      <c r="A709" t="s">
        <v>1572</v>
      </c>
      <c r="B709" t="s">
        <v>1573</v>
      </c>
      <c r="C709" t="s">
        <v>291</v>
      </c>
      <c r="D709" t="s">
        <v>292</v>
      </c>
      <c r="E709" s="1" t="s">
        <v>8</v>
      </c>
      <c r="F709" s="1" t="s">
        <v>141</v>
      </c>
      <c r="G709" t="s">
        <v>999</v>
      </c>
      <c r="H709">
        <v>770</v>
      </c>
      <c r="L709" s="16">
        <f>(2*1.74)</f>
        <v>3.48</v>
      </c>
      <c r="N709">
        <v>5.4</v>
      </c>
      <c r="Q709" t="s">
        <v>155</v>
      </c>
      <c r="U709" s="16">
        <f>(1400*1.29)</f>
        <v>1806</v>
      </c>
      <c r="W709">
        <v>2.9</v>
      </c>
      <c r="Z709" t="s">
        <v>155</v>
      </c>
      <c r="AD709" s="16">
        <f>(3.1*1.22)</f>
        <v>3.782</v>
      </c>
      <c r="AG709" s="16">
        <f>(1600*1.34)</f>
        <v>2144</v>
      </c>
      <c r="AJ709" s="16">
        <f>(1.6*1.44)</f>
        <v>2.3039999999999998</v>
      </c>
      <c r="AL709">
        <v>160</v>
      </c>
      <c r="AO709">
        <v>6</v>
      </c>
      <c r="AR709" t="s">
        <v>155</v>
      </c>
      <c r="AU709">
        <v>130</v>
      </c>
      <c r="AX709">
        <v>65</v>
      </c>
      <c r="BB709" s="16">
        <f>(3.2*1.34)</f>
        <v>4.2880000000000003</v>
      </c>
      <c r="BD709">
        <v>5.9</v>
      </c>
      <c r="BG709" t="s">
        <v>155</v>
      </c>
    </row>
    <row r="710" spans="1:61" x14ac:dyDescent="0.2">
      <c r="A710" t="s">
        <v>1572</v>
      </c>
      <c r="B710" t="s">
        <v>1573</v>
      </c>
      <c r="C710" t="s">
        <v>291</v>
      </c>
      <c r="D710" t="s">
        <v>292</v>
      </c>
      <c r="E710" s="1" t="s">
        <v>8</v>
      </c>
      <c r="F710" s="1" t="s">
        <v>141</v>
      </c>
      <c r="G710" t="s">
        <v>1575</v>
      </c>
      <c r="H710">
        <v>2600</v>
      </c>
      <c r="L710" s="16">
        <f>(9.2*1.74)</f>
        <v>16.007999999999999</v>
      </c>
      <c r="N710">
        <v>1.9</v>
      </c>
      <c r="Q710" t="s">
        <v>155</v>
      </c>
      <c r="U710" s="16">
        <f>(170*1.29)</f>
        <v>219.3</v>
      </c>
      <c r="X710" s="16">
        <f>(1.8*1.29)</f>
        <v>2.3220000000000001</v>
      </c>
      <c r="Z710" t="s">
        <v>155</v>
      </c>
      <c r="AD710" s="16">
        <f>(4.2*1.22)</f>
        <v>5.1239999999999997</v>
      </c>
      <c r="AG710" s="16">
        <f>(720*1.34)</f>
        <v>964.80000000000007</v>
      </c>
      <c r="AJ710" s="16">
        <f>(5.4*1.44)</f>
        <v>7.7759999999999998</v>
      </c>
      <c r="AM710" s="16">
        <f>(14*1.23)</f>
        <v>17.22</v>
      </c>
      <c r="AP710" s="16">
        <f>(2.2*1.24)</f>
        <v>2.7280000000000002</v>
      </c>
      <c r="AR710" t="s">
        <v>155</v>
      </c>
      <c r="AV710" s="16">
        <f>(50*17.49)</f>
        <v>874.49999999999989</v>
      </c>
      <c r="AX710" t="s">
        <v>155</v>
      </c>
      <c r="BB710" s="16">
        <f>(2.1*1.34)</f>
        <v>2.8140000000000005</v>
      </c>
      <c r="BD710" t="s">
        <v>155</v>
      </c>
      <c r="BG710" t="s">
        <v>155</v>
      </c>
    </row>
    <row r="711" spans="1:61" x14ac:dyDescent="0.2">
      <c r="A711" t="s">
        <v>1572</v>
      </c>
      <c r="B711" t="s">
        <v>1573</v>
      </c>
      <c r="C711" t="s">
        <v>291</v>
      </c>
      <c r="D711" t="s">
        <v>292</v>
      </c>
      <c r="E711" s="1" t="s">
        <v>8</v>
      </c>
      <c r="F711" s="1" t="s">
        <v>141</v>
      </c>
      <c r="G711" t="s">
        <v>1576</v>
      </c>
      <c r="H711">
        <v>3700</v>
      </c>
      <c r="K711" t="s">
        <v>155</v>
      </c>
      <c r="N711">
        <v>14</v>
      </c>
      <c r="Q711" t="s">
        <v>155</v>
      </c>
      <c r="T711">
        <v>17000</v>
      </c>
      <c r="W711">
        <v>10</v>
      </c>
      <c r="AA711" s="16">
        <f>(1.5*1.25)</f>
        <v>1.875</v>
      </c>
      <c r="AC711" t="s">
        <v>155</v>
      </c>
      <c r="AF711">
        <v>4000</v>
      </c>
      <c r="AI711">
        <v>15</v>
      </c>
      <c r="AL711">
        <v>1800</v>
      </c>
      <c r="AO711">
        <v>2.4</v>
      </c>
      <c r="AR711" t="s">
        <v>155</v>
      </c>
      <c r="AU711">
        <v>450</v>
      </c>
      <c r="AX711">
        <v>280</v>
      </c>
      <c r="BB711" s="16">
        <f>(12*1.34)</f>
        <v>16.080000000000002</v>
      </c>
      <c r="BD711">
        <v>24</v>
      </c>
      <c r="BG711" t="s">
        <v>155</v>
      </c>
    </row>
    <row r="712" spans="1:61" x14ac:dyDescent="0.2">
      <c r="A712" t="s">
        <v>1572</v>
      </c>
      <c r="B712" t="s">
        <v>1573</v>
      </c>
      <c r="C712" t="s">
        <v>291</v>
      </c>
      <c r="D712" t="s">
        <v>292</v>
      </c>
      <c r="E712" s="1" t="s">
        <v>8</v>
      </c>
      <c r="F712" s="1" t="s">
        <v>153</v>
      </c>
      <c r="G712" t="s">
        <v>1577</v>
      </c>
      <c r="H712">
        <v>1700</v>
      </c>
      <c r="K712" t="s">
        <v>155</v>
      </c>
      <c r="N712" t="s">
        <v>155</v>
      </c>
      <c r="Q712" t="s">
        <v>155</v>
      </c>
      <c r="T712" t="s">
        <v>155</v>
      </c>
      <c r="W712" t="s">
        <v>155</v>
      </c>
      <c r="Z712" t="s">
        <v>155</v>
      </c>
      <c r="AC712" t="s">
        <v>155</v>
      </c>
      <c r="AF712">
        <v>930</v>
      </c>
      <c r="AI712">
        <v>6</v>
      </c>
      <c r="AL712" t="s">
        <v>155</v>
      </c>
      <c r="AO712" t="s">
        <v>155</v>
      </c>
      <c r="AR712" t="s">
        <v>155</v>
      </c>
      <c r="AU712" t="s">
        <v>155</v>
      </c>
      <c r="AX712" t="s">
        <v>155</v>
      </c>
      <c r="BA712" t="s">
        <v>155</v>
      </c>
      <c r="BD712" t="s">
        <v>155</v>
      </c>
      <c r="BG712" t="s">
        <v>155</v>
      </c>
    </row>
    <row r="713" spans="1:61" x14ac:dyDescent="0.2">
      <c r="A713" t="s">
        <v>1572</v>
      </c>
      <c r="B713" t="s">
        <v>1573</v>
      </c>
      <c r="C713" t="s">
        <v>291</v>
      </c>
      <c r="D713" t="s">
        <v>292</v>
      </c>
      <c r="E713" s="1" t="s">
        <v>8</v>
      </c>
      <c r="F713" s="1" t="s">
        <v>153</v>
      </c>
      <c r="G713" t="s">
        <v>1578</v>
      </c>
      <c r="H713" t="s">
        <v>155</v>
      </c>
      <c r="K713">
        <v>3.5</v>
      </c>
      <c r="N713" t="s">
        <v>155</v>
      </c>
      <c r="Q713" t="s">
        <v>155</v>
      </c>
      <c r="T713" t="s">
        <v>155</v>
      </c>
      <c r="W713">
        <v>5.5</v>
      </c>
      <c r="Z713" t="s">
        <v>155</v>
      </c>
      <c r="AC713">
        <v>6.1</v>
      </c>
      <c r="AF713" t="s">
        <v>155</v>
      </c>
      <c r="AI713">
        <v>14</v>
      </c>
      <c r="AL713" t="s">
        <v>155</v>
      </c>
      <c r="AO713" t="s">
        <v>155</v>
      </c>
      <c r="AR713" t="s">
        <v>155</v>
      </c>
      <c r="AU713" t="s">
        <v>155</v>
      </c>
      <c r="AX713" t="s">
        <v>155</v>
      </c>
      <c r="BA713" t="s">
        <v>155</v>
      </c>
      <c r="BD713" t="s">
        <v>155</v>
      </c>
      <c r="BG713" t="s">
        <v>155</v>
      </c>
    </row>
    <row r="714" spans="1:61" x14ac:dyDescent="0.2">
      <c r="A714" t="s">
        <v>1572</v>
      </c>
      <c r="B714" t="s">
        <v>1573</v>
      </c>
      <c r="C714" t="s">
        <v>291</v>
      </c>
      <c r="D714" t="s">
        <v>292</v>
      </c>
      <c r="E714" s="1" t="s">
        <v>8</v>
      </c>
      <c r="F714" s="1" t="s">
        <v>153</v>
      </c>
      <c r="G714" t="s">
        <v>1579</v>
      </c>
      <c r="H714" t="s">
        <v>155</v>
      </c>
      <c r="K714">
        <v>5.2</v>
      </c>
      <c r="N714" t="s">
        <v>155</v>
      </c>
      <c r="Q714" t="s">
        <v>155</v>
      </c>
      <c r="T714" t="s">
        <v>155</v>
      </c>
      <c r="W714">
        <v>14</v>
      </c>
      <c r="Z714" t="s">
        <v>155</v>
      </c>
      <c r="AC714">
        <v>46</v>
      </c>
      <c r="AF714" t="s">
        <v>155</v>
      </c>
      <c r="AI714">
        <v>290</v>
      </c>
      <c r="AL714" t="s">
        <v>155</v>
      </c>
      <c r="AO714" t="s">
        <v>155</v>
      </c>
      <c r="AR714" t="s">
        <v>155</v>
      </c>
      <c r="AU714" t="s">
        <v>155</v>
      </c>
      <c r="AX714" t="s">
        <v>155</v>
      </c>
      <c r="BA714" t="s">
        <v>155</v>
      </c>
      <c r="BD714" t="s">
        <v>155</v>
      </c>
      <c r="BG714" t="s">
        <v>155</v>
      </c>
    </row>
    <row r="715" spans="1:61" x14ac:dyDescent="0.2">
      <c r="A715" t="s">
        <v>1572</v>
      </c>
      <c r="B715" t="s">
        <v>1573</v>
      </c>
      <c r="C715" t="s">
        <v>291</v>
      </c>
      <c r="D715" t="s">
        <v>292</v>
      </c>
      <c r="E715" s="1" t="s">
        <v>8</v>
      </c>
      <c r="F715" s="1" t="s">
        <v>153</v>
      </c>
      <c r="G715" t="s">
        <v>1580</v>
      </c>
      <c r="H715" t="s">
        <v>155</v>
      </c>
      <c r="K715" t="s">
        <v>155</v>
      </c>
      <c r="N715" t="s">
        <v>155</v>
      </c>
      <c r="Q715" t="s">
        <v>155</v>
      </c>
      <c r="T715" t="s">
        <v>155</v>
      </c>
      <c r="W715">
        <v>2.1</v>
      </c>
      <c r="Z715" t="s">
        <v>155</v>
      </c>
      <c r="AC715">
        <v>8</v>
      </c>
      <c r="AF715" t="s">
        <v>155</v>
      </c>
      <c r="AI715">
        <v>61</v>
      </c>
      <c r="AL715" t="s">
        <v>155</v>
      </c>
      <c r="AO715" t="s">
        <v>155</v>
      </c>
      <c r="AR715" t="s">
        <v>155</v>
      </c>
      <c r="AU715" t="s">
        <v>155</v>
      </c>
      <c r="AX715" t="s">
        <v>155</v>
      </c>
      <c r="BA715" t="s">
        <v>155</v>
      </c>
      <c r="BD715" t="s">
        <v>155</v>
      </c>
      <c r="BG715" t="s">
        <v>155</v>
      </c>
    </row>
    <row r="716" spans="1:61" x14ac:dyDescent="0.2">
      <c r="A716" t="s">
        <v>1572</v>
      </c>
      <c r="B716" t="s">
        <v>1573</v>
      </c>
      <c r="C716" t="s">
        <v>291</v>
      </c>
      <c r="D716" t="s">
        <v>292</v>
      </c>
      <c r="E716" s="1" t="s">
        <v>8</v>
      </c>
      <c r="F716" s="1" t="s">
        <v>153</v>
      </c>
      <c r="G716" t="s">
        <v>568</v>
      </c>
      <c r="H716" t="s">
        <v>155</v>
      </c>
      <c r="K716">
        <v>4.4000000000000004</v>
      </c>
      <c r="N716" t="s">
        <v>155</v>
      </c>
      <c r="Q716" t="s">
        <v>155</v>
      </c>
      <c r="T716" t="s">
        <v>155</v>
      </c>
      <c r="W716">
        <v>2.4</v>
      </c>
      <c r="Z716" t="s">
        <v>155</v>
      </c>
      <c r="AC716">
        <v>11</v>
      </c>
      <c r="AF716" t="s">
        <v>155</v>
      </c>
      <c r="AI716" t="s">
        <v>155</v>
      </c>
      <c r="AL716" t="s">
        <v>155</v>
      </c>
      <c r="AO716" t="s">
        <v>155</v>
      </c>
      <c r="AR716" t="s">
        <v>155</v>
      </c>
      <c r="AU716" t="s">
        <v>155</v>
      </c>
      <c r="AX716" t="s">
        <v>155</v>
      </c>
      <c r="BA716" t="s">
        <v>155</v>
      </c>
      <c r="BD716" t="s">
        <v>155</v>
      </c>
      <c r="BG716" t="s">
        <v>155</v>
      </c>
    </row>
    <row r="717" spans="1:61" x14ac:dyDescent="0.2">
      <c r="A717" t="s">
        <v>1572</v>
      </c>
      <c r="B717" t="s">
        <v>1573</v>
      </c>
      <c r="C717" t="s">
        <v>291</v>
      </c>
      <c r="D717" t="s">
        <v>292</v>
      </c>
      <c r="E717" s="1" t="s">
        <v>8</v>
      </c>
      <c r="F717" s="1" t="s">
        <v>153</v>
      </c>
      <c r="G717" t="s">
        <v>1581</v>
      </c>
      <c r="H717" t="s">
        <v>155</v>
      </c>
      <c r="K717">
        <v>4.9000000000000004</v>
      </c>
      <c r="N717" t="s">
        <v>155</v>
      </c>
      <c r="Q717" t="s">
        <v>155</v>
      </c>
      <c r="T717" t="s">
        <v>155</v>
      </c>
      <c r="W717">
        <v>2.4</v>
      </c>
      <c r="Z717" t="s">
        <v>155</v>
      </c>
      <c r="AC717">
        <v>13</v>
      </c>
      <c r="AF717" t="s">
        <v>155</v>
      </c>
      <c r="AI717" t="s">
        <v>155</v>
      </c>
      <c r="AL717" t="s">
        <v>155</v>
      </c>
      <c r="AO717" t="s">
        <v>155</v>
      </c>
      <c r="AR717" t="s">
        <v>155</v>
      </c>
      <c r="AU717" t="s">
        <v>155</v>
      </c>
      <c r="AX717" t="s">
        <v>155</v>
      </c>
      <c r="BA717" t="s">
        <v>155</v>
      </c>
      <c r="BD717" t="s">
        <v>155</v>
      </c>
      <c r="BG717" t="s">
        <v>155</v>
      </c>
    </row>
    <row r="718" spans="1:61" x14ac:dyDescent="0.2">
      <c r="A718" t="s">
        <v>1572</v>
      </c>
      <c r="B718" t="s">
        <v>1573</v>
      </c>
      <c r="C718" t="s">
        <v>291</v>
      </c>
      <c r="D718" t="s">
        <v>292</v>
      </c>
      <c r="E718" s="1" t="s">
        <v>8</v>
      </c>
      <c r="F718" s="1" t="s">
        <v>153</v>
      </c>
      <c r="G718" t="s">
        <v>1582</v>
      </c>
      <c r="H718" t="s">
        <v>155</v>
      </c>
      <c r="K718" t="s">
        <v>155</v>
      </c>
      <c r="N718" t="s">
        <v>155</v>
      </c>
      <c r="Q718" t="s">
        <v>155</v>
      </c>
      <c r="T718" t="s">
        <v>155</v>
      </c>
      <c r="W718" t="s">
        <v>155</v>
      </c>
      <c r="Z718" t="s">
        <v>155</v>
      </c>
      <c r="AC718">
        <v>16</v>
      </c>
      <c r="AF718" t="s">
        <v>155</v>
      </c>
      <c r="AI718" t="s">
        <v>155</v>
      </c>
      <c r="AL718" t="s">
        <v>155</v>
      </c>
      <c r="AO718" t="s">
        <v>155</v>
      </c>
      <c r="AR718" t="s">
        <v>155</v>
      </c>
      <c r="AU718" t="s">
        <v>155</v>
      </c>
      <c r="AX718" t="s">
        <v>155</v>
      </c>
      <c r="BA718" t="s">
        <v>155</v>
      </c>
      <c r="BD718" t="s">
        <v>155</v>
      </c>
      <c r="BG718" t="s">
        <v>155</v>
      </c>
    </row>
    <row r="719" spans="1:61" x14ac:dyDescent="0.2">
      <c r="A719" t="s">
        <v>1572</v>
      </c>
      <c r="B719" t="s">
        <v>1573</v>
      </c>
      <c r="C719" t="s">
        <v>291</v>
      </c>
      <c r="D719" t="s">
        <v>292</v>
      </c>
      <c r="E719" s="1" t="s">
        <v>8</v>
      </c>
      <c r="F719" s="1" t="s">
        <v>153</v>
      </c>
      <c r="G719" t="s">
        <v>1583</v>
      </c>
      <c r="H719" t="s">
        <v>155</v>
      </c>
      <c r="K719">
        <v>4.9000000000000004</v>
      </c>
      <c r="N719" t="s">
        <v>155</v>
      </c>
      <c r="Q719">
        <v>0.96</v>
      </c>
      <c r="T719" t="s">
        <v>155</v>
      </c>
      <c r="W719">
        <v>6.8</v>
      </c>
      <c r="Z719" t="s">
        <v>155</v>
      </c>
      <c r="AC719">
        <v>74</v>
      </c>
      <c r="AF719" t="s">
        <v>155</v>
      </c>
      <c r="AI719">
        <v>160</v>
      </c>
      <c r="AL719" t="s">
        <v>155</v>
      </c>
      <c r="AO719" t="s">
        <v>155</v>
      </c>
      <c r="AR719">
        <v>6</v>
      </c>
      <c r="AU719" t="s">
        <v>155</v>
      </c>
      <c r="AX719" t="s">
        <v>155</v>
      </c>
      <c r="BA719" t="s">
        <v>155</v>
      </c>
      <c r="BD719">
        <v>610</v>
      </c>
      <c r="BG719" t="s">
        <v>155</v>
      </c>
    </row>
    <row r="720" spans="1:61" x14ac:dyDescent="0.2">
      <c r="A720" t="s">
        <v>1572</v>
      </c>
      <c r="B720" t="s">
        <v>1573</v>
      </c>
      <c r="C720" t="s">
        <v>291</v>
      </c>
      <c r="D720" t="s">
        <v>292</v>
      </c>
      <c r="E720" s="1" t="s">
        <v>8</v>
      </c>
      <c r="F720" s="1" t="s">
        <v>153</v>
      </c>
      <c r="G720" t="s">
        <v>1000</v>
      </c>
      <c r="H720">
        <v>2700</v>
      </c>
      <c r="L720" s="16">
        <f>(3.8*1.74)</f>
        <v>6.6120000000000001</v>
      </c>
      <c r="N720">
        <v>46</v>
      </c>
      <c r="R720" s="16">
        <f>(0.58*1.41)</f>
        <v>0.81779999999999986</v>
      </c>
      <c r="T720">
        <v>15000</v>
      </c>
      <c r="W720">
        <v>14</v>
      </c>
      <c r="AA720" s="16">
        <f>(1.4*1.25)</f>
        <v>1.75</v>
      </c>
      <c r="AC720">
        <v>29</v>
      </c>
      <c r="AF720">
        <v>5900</v>
      </c>
      <c r="AI720">
        <v>130</v>
      </c>
      <c r="AL720">
        <v>43</v>
      </c>
      <c r="AO720">
        <v>43</v>
      </c>
      <c r="AR720" t="s">
        <v>155</v>
      </c>
      <c r="AU720">
        <v>210</v>
      </c>
      <c r="AX720" t="s">
        <v>155</v>
      </c>
      <c r="BB720" s="16">
        <f>(13*1.34)</f>
        <v>17.420000000000002</v>
      </c>
      <c r="BD720">
        <v>210</v>
      </c>
      <c r="BG720" t="s">
        <v>155</v>
      </c>
    </row>
    <row r="721" spans="1:61" x14ac:dyDescent="0.2">
      <c r="A721" t="s">
        <v>1584</v>
      </c>
      <c r="B721" t="s">
        <v>1585</v>
      </c>
      <c r="C721" t="s">
        <v>424</v>
      </c>
      <c r="D721" t="s">
        <v>135</v>
      </c>
      <c r="E721" s="1" t="s">
        <v>8</v>
      </c>
      <c r="F721" s="1" t="s">
        <v>140</v>
      </c>
      <c r="G721" t="s">
        <v>1586</v>
      </c>
      <c r="H721" t="s">
        <v>155</v>
      </c>
      <c r="M721">
        <v>2.5</v>
      </c>
      <c r="N721" t="s">
        <v>155</v>
      </c>
      <c r="Q721" t="s">
        <v>155</v>
      </c>
      <c r="T721" t="s">
        <v>155</v>
      </c>
      <c r="W721">
        <v>4.5199999999999996</v>
      </c>
      <c r="Z721" t="s">
        <v>155</v>
      </c>
      <c r="AC721">
        <v>5.26</v>
      </c>
      <c r="AF721" t="s">
        <v>155</v>
      </c>
      <c r="AI721">
        <v>11.4</v>
      </c>
      <c r="AL721" t="s">
        <v>155</v>
      </c>
      <c r="AO721" t="s">
        <v>155</v>
      </c>
      <c r="AT721">
        <v>2.5</v>
      </c>
      <c r="AU721" t="s">
        <v>155</v>
      </c>
      <c r="AX721" t="s">
        <v>155</v>
      </c>
      <c r="BA721" t="s">
        <v>155</v>
      </c>
      <c r="BD721">
        <v>12.2</v>
      </c>
      <c r="BI721">
        <v>0.2</v>
      </c>
    </row>
    <row r="722" spans="1:61" x14ac:dyDescent="0.2">
      <c r="A722" t="s">
        <v>1584</v>
      </c>
      <c r="B722" t="s">
        <v>1585</v>
      </c>
      <c r="C722" t="s">
        <v>424</v>
      </c>
      <c r="D722" t="s">
        <v>135</v>
      </c>
      <c r="E722" s="1" t="s">
        <v>8</v>
      </c>
      <c r="F722" s="1" t="s">
        <v>140</v>
      </c>
      <c r="G722" t="s">
        <v>1587</v>
      </c>
      <c r="H722" t="s">
        <v>155</v>
      </c>
      <c r="K722">
        <v>1.9</v>
      </c>
      <c r="N722">
        <v>59</v>
      </c>
      <c r="S722">
        <v>9.8000000000000007</v>
      </c>
      <c r="T722" t="s">
        <v>155</v>
      </c>
      <c r="Y722">
        <v>9.8000000000000007</v>
      </c>
      <c r="Z722" t="s">
        <v>155</v>
      </c>
      <c r="AC722" t="s">
        <v>155</v>
      </c>
      <c r="AF722" t="s">
        <v>155</v>
      </c>
      <c r="AK722">
        <v>20</v>
      </c>
      <c r="AL722" t="s">
        <v>155</v>
      </c>
      <c r="AO722" t="s">
        <v>155</v>
      </c>
      <c r="AR722" t="s">
        <v>155</v>
      </c>
      <c r="AU722" t="s">
        <v>155</v>
      </c>
      <c r="AX722" t="s">
        <v>155</v>
      </c>
      <c r="BA722" t="s">
        <v>155</v>
      </c>
      <c r="BD722" t="s">
        <v>155</v>
      </c>
      <c r="BG722">
        <v>0.15</v>
      </c>
    </row>
    <row r="723" spans="1:61" x14ac:dyDescent="0.2">
      <c r="A723" t="s">
        <v>1584</v>
      </c>
      <c r="B723" t="s">
        <v>1585</v>
      </c>
      <c r="C723" t="s">
        <v>424</v>
      </c>
      <c r="D723" t="s">
        <v>135</v>
      </c>
      <c r="E723" s="1" t="s">
        <v>8</v>
      </c>
      <c r="F723" s="1" t="s">
        <v>140</v>
      </c>
      <c r="G723" t="s">
        <v>1587</v>
      </c>
      <c r="H723" t="s">
        <v>155</v>
      </c>
      <c r="K723">
        <v>1.9</v>
      </c>
      <c r="N723">
        <v>33</v>
      </c>
      <c r="S723">
        <v>9.8000000000000007</v>
      </c>
      <c r="T723" t="s">
        <v>155</v>
      </c>
      <c r="Y723">
        <v>9.8000000000000007</v>
      </c>
      <c r="Z723" t="s">
        <v>155</v>
      </c>
      <c r="AC723" t="s">
        <v>155</v>
      </c>
      <c r="AF723" t="s">
        <v>155</v>
      </c>
      <c r="AK723">
        <v>20</v>
      </c>
      <c r="AL723" t="s">
        <v>155</v>
      </c>
      <c r="AO723" t="s">
        <v>155</v>
      </c>
      <c r="AR723" t="s">
        <v>155</v>
      </c>
      <c r="AU723" t="s">
        <v>155</v>
      </c>
      <c r="AX723" t="s">
        <v>155</v>
      </c>
      <c r="BA723" t="s">
        <v>155</v>
      </c>
      <c r="BD723" t="s">
        <v>155</v>
      </c>
      <c r="BI723">
        <v>0.09</v>
      </c>
    </row>
    <row r="724" spans="1:61" x14ac:dyDescent="0.2">
      <c r="A724" t="s">
        <v>1584</v>
      </c>
      <c r="B724" t="s">
        <v>1585</v>
      </c>
      <c r="C724" t="s">
        <v>424</v>
      </c>
      <c r="D724" t="s">
        <v>135</v>
      </c>
      <c r="E724" s="1" t="s">
        <v>8</v>
      </c>
      <c r="F724" s="1" t="s">
        <v>153</v>
      </c>
      <c r="G724" t="s">
        <v>1588</v>
      </c>
      <c r="H724" t="s">
        <v>155</v>
      </c>
      <c r="M724">
        <v>1.9</v>
      </c>
      <c r="N724">
        <v>27</v>
      </c>
      <c r="S724">
        <v>9.8000000000000007</v>
      </c>
      <c r="T724" t="s">
        <v>155</v>
      </c>
      <c r="Y724" s="38">
        <v>42986</v>
      </c>
      <c r="Z724" t="s">
        <v>155</v>
      </c>
      <c r="AC724" t="s">
        <v>155</v>
      </c>
      <c r="AF724" t="s">
        <v>155</v>
      </c>
      <c r="AK724">
        <v>20</v>
      </c>
      <c r="AL724" t="s">
        <v>155</v>
      </c>
      <c r="AO724" t="s">
        <v>155</v>
      </c>
      <c r="AR724" t="s">
        <v>155</v>
      </c>
      <c r="AU724" t="s">
        <v>155</v>
      </c>
      <c r="AX724" t="s">
        <v>155</v>
      </c>
      <c r="BA724" t="s">
        <v>155</v>
      </c>
      <c r="BD724" t="s">
        <v>155</v>
      </c>
      <c r="BI724">
        <v>0.09</v>
      </c>
    </row>
    <row r="725" spans="1:61" x14ac:dyDescent="0.2">
      <c r="A725" t="s">
        <v>1589</v>
      </c>
      <c r="B725" t="s">
        <v>1590</v>
      </c>
      <c r="C725" t="s">
        <v>323</v>
      </c>
      <c r="D725" t="s">
        <v>324</v>
      </c>
      <c r="F725" s="1" t="s">
        <v>140</v>
      </c>
      <c r="G725" t="s">
        <v>744</v>
      </c>
      <c r="H725">
        <v>27000</v>
      </c>
      <c r="K725" t="s">
        <v>155</v>
      </c>
      <c r="N725">
        <v>94.4</v>
      </c>
      <c r="Q725" t="s">
        <v>155</v>
      </c>
      <c r="T725" t="s">
        <v>155</v>
      </c>
      <c r="W725">
        <v>32.1</v>
      </c>
      <c r="Z725" t="s">
        <v>155</v>
      </c>
      <c r="AC725">
        <v>11.1</v>
      </c>
      <c r="AF725">
        <v>11600</v>
      </c>
      <c r="AI725">
        <v>30.9</v>
      </c>
      <c r="AL725">
        <v>2210</v>
      </c>
      <c r="AO725">
        <v>165</v>
      </c>
      <c r="AR725" t="s">
        <v>155</v>
      </c>
      <c r="AU725" t="s">
        <v>155</v>
      </c>
      <c r="AX725" t="s">
        <v>155</v>
      </c>
      <c r="BA725" t="s">
        <v>155</v>
      </c>
      <c r="BD725">
        <v>30.3</v>
      </c>
      <c r="BI725">
        <v>0.25</v>
      </c>
    </row>
    <row r="726" spans="1:61" x14ac:dyDescent="0.2">
      <c r="A726" t="s">
        <v>1591</v>
      </c>
      <c r="B726" t="s">
        <v>1592</v>
      </c>
      <c r="C726" t="s">
        <v>524</v>
      </c>
      <c r="D726" t="s">
        <v>343</v>
      </c>
      <c r="E726" s="1" t="s">
        <v>168</v>
      </c>
      <c r="F726" s="1" t="s">
        <v>141</v>
      </c>
      <c r="G726" t="s">
        <v>1593</v>
      </c>
      <c r="H726" t="s">
        <v>155</v>
      </c>
      <c r="K726">
        <v>0.22</v>
      </c>
      <c r="N726">
        <v>8.9600000000000009</v>
      </c>
      <c r="Q726">
        <v>0.28000000000000003</v>
      </c>
      <c r="T726" t="s">
        <v>155</v>
      </c>
      <c r="W726">
        <v>37.5</v>
      </c>
      <c r="Z726" t="s">
        <v>155</v>
      </c>
      <c r="AC726" t="s">
        <v>155</v>
      </c>
      <c r="AF726" t="s">
        <v>155</v>
      </c>
      <c r="AI726">
        <v>1.56</v>
      </c>
      <c r="AL726" t="s">
        <v>155</v>
      </c>
      <c r="AO726" t="s">
        <v>155</v>
      </c>
      <c r="AR726" t="s">
        <v>155</v>
      </c>
      <c r="AU726" t="s">
        <v>155</v>
      </c>
      <c r="AX726" t="s">
        <v>155</v>
      </c>
      <c r="BA726" t="s">
        <v>155</v>
      </c>
      <c r="BD726" t="s">
        <v>155</v>
      </c>
      <c r="BI726">
        <v>0.05</v>
      </c>
    </row>
    <row r="727" spans="1:61" x14ac:dyDescent="0.2">
      <c r="A727" t="s">
        <v>1591</v>
      </c>
      <c r="B727" t="s">
        <v>1592</v>
      </c>
      <c r="C727" t="s">
        <v>524</v>
      </c>
      <c r="D727" t="s">
        <v>343</v>
      </c>
      <c r="E727" s="1" t="s">
        <v>168</v>
      </c>
      <c r="F727" s="1" t="s">
        <v>141</v>
      </c>
      <c r="G727" t="s">
        <v>1594</v>
      </c>
      <c r="H727" t="s">
        <v>155</v>
      </c>
      <c r="K727">
        <v>0.18</v>
      </c>
      <c r="N727">
        <v>21.3</v>
      </c>
      <c r="Q727">
        <v>0.42</v>
      </c>
      <c r="T727" t="s">
        <v>155</v>
      </c>
      <c r="W727">
        <v>2.67</v>
      </c>
      <c r="Z727" t="s">
        <v>155</v>
      </c>
      <c r="AC727" t="s">
        <v>155</v>
      </c>
      <c r="AF727" t="s">
        <v>155</v>
      </c>
      <c r="AI727">
        <v>3.36</v>
      </c>
      <c r="AL727" t="s">
        <v>155</v>
      </c>
      <c r="AO727" t="s">
        <v>155</v>
      </c>
      <c r="AR727" t="s">
        <v>155</v>
      </c>
      <c r="AU727" t="s">
        <v>155</v>
      </c>
      <c r="AX727" t="s">
        <v>155</v>
      </c>
      <c r="BA727" t="s">
        <v>155</v>
      </c>
      <c r="BD727" t="s">
        <v>155</v>
      </c>
      <c r="BI727">
        <v>0.05</v>
      </c>
    </row>
    <row r="728" spans="1:61" x14ac:dyDescent="0.2">
      <c r="A728" t="s">
        <v>1591</v>
      </c>
      <c r="B728" t="s">
        <v>1592</v>
      </c>
      <c r="C728" t="s">
        <v>524</v>
      </c>
      <c r="D728" t="s">
        <v>343</v>
      </c>
      <c r="E728" s="1" t="s">
        <v>168</v>
      </c>
      <c r="F728" s="1" t="s">
        <v>141</v>
      </c>
      <c r="G728" t="s">
        <v>1595</v>
      </c>
      <c r="H728">
        <v>2000</v>
      </c>
      <c r="K728" t="s">
        <v>155</v>
      </c>
      <c r="N728" t="s">
        <v>155</v>
      </c>
      <c r="Q728" t="s">
        <v>155</v>
      </c>
      <c r="T728" t="s">
        <v>155</v>
      </c>
      <c r="W728" t="s">
        <v>155</v>
      </c>
      <c r="Z728" t="s">
        <v>155</v>
      </c>
      <c r="AC728" t="s">
        <v>155</v>
      </c>
      <c r="AF728">
        <v>390</v>
      </c>
      <c r="AI728" t="s">
        <v>155</v>
      </c>
      <c r="AL728" t="s">
        <v>155</v>
      </c>
      <c r="AO728" t="s">
        <v>155</v>
      </c>
      <c r="AR728" t="s">
        <v>155</v>
      </c>
      <c r="AU728" t="s">
        <v>155</v>
      </c>
      <c r="AX728" t="s">
        <v>155</v>
      </c>
      <c r="BA728" t="s">
        <v>155</v>
      </c>
      <c r="BD728" t="s">
        <v>155</v>
      </c>
      <c r="BG728" t="s">
        <v>155</v>
      </c>
    </row>
    <row r="729" spans="1:61" x14ac:dyDescent="0.2">
      <c r="A729" t="s">
        <v>1591</v>
      </c>
      <c r="B729" t="s">
        <v>1592</v>
      </c>
      <c r="C729" t="s">
        <v>524</v>
      </c>
      <c r="D729" t="s">
        <v>343</v>
      </c>
      <c r="E729" s="1" t="s">
        <v>168</v>
      </c>
      <c r="F729" s="1" t="s">
        <v>153</v>
      </c>
      <c r="G729" t="s">
        <v>1596</v>
      </c>
      <c r="H729" t="s">
        <v>155</v>
      </c>
      <c r="K729" t="s">
        <v>155</v>
      </c>
      <c r="N729" t="s">
        <v>155</v>
      </c>
      <c r="Q729" t="s">
        <v>155</v>
      </c>
      <c r="T729" t="s">
        <v>155</v>
      </c>
      <c r="W729" t="s">
        <v>155</v>
      </c>
      <c r="Z729" t="s">
        <v>155</v>
      </c>
      <c r="AC729" t="s">
        <v>155</v>
      </c>
      <c r="AF729" t="s">
        <v>155</v>
      </c>
      <c r="AI729" t="s">
        <v>155</v>
      </c>
      <c r="AL729" t="s">
        <v>155</v>
      </c>
      <c r="AO729" t="s">
        <v>155</v>
      </c>
      <c r="AR729" t="s">
        <v>155</v>
      </c>
      <c r="AU729" t="s">
        <v>155</v>
      </c>
      <c r="AX729" t="s">
        <v>155</v>
      </c>
      <c r="BA729" t="s">
        <v>155</v>
      </c>
      <c r="BD729" t="s">
        <v>155</v>
      </c>
      <c r="BH729" s="16">
        <f>(0.28*1.83)</f>
        <v>0.51240000000000008</v>
      </c>
    </row>
    <row r="730" spans="1:61" ht="16" x14ac:dyDescent="0.2">
      <c r="A730" s="19" t="s">
        <v>1597</v>
      </c>
      <c r="B730" s="10" t="s">
        <v>1598</v>
      </c>
      <c r="C730" s="10" t="s">
        <v>777</v>
      </c>
      <c r="D730" s="10" t="s">
        <v>204</v>
      </c>
      <c r="E730" s="11" t="s">
        <v>8</v>
      </c>
      <c r="F730" s="11" t="s">
        <v>140</v>
      </c>
      <c r="G730" s="10" t="s">
        <v>1599</v>
      </c>
      <c r="H730">
        <v>3920</v>
      </c>
      <c r="M730">
        <v>1.2</v>
      </c>
      <c r="N730">
        <v>39</v>
      </c>
      <c r="S730">
        <v>0.59</v>
      </c>
      <c r="V730">
        <v>590</v>
      </c>
      <c r="W730">
        <v>6.9</v>
      </c>
      <c r="AB730">
        <v>5.9</v>
      </c>
      <c r="AE730">
        <v>3</v>
      </c>
      <c r="AF730">
        <v>5580</v>
      </c>
      <c r="AI730">
        <v>9.6</v>
      </c>
      <c r="AN730">
        <v>590</v>
      </c>
      <c r="AP730" s="16">
        <f>(88.7*1.24)</f>
        <v>109.988</v>
      </c>
      <c r="AT730">
        <v>4.7</v>
      </c>
      <c r="AW730">
        <v>590</v>
      </c>
      <c r="AZ730">
        <v>590</v>
      </c>
      <c r="BA730">
        <v>12.2</v>
      </c>
      <c r="BD730">
        <v>13.9</v>
      </c>
      <c r="BI730">
        <v>3.9E-2</v>
      </c>
    </row>
    <row r="731" spans="1:61" ht="16" x14ac:dyDescent="0.2">
      <c r="A731" s="19" t="s">
        <v>1597</v>
      </c>
      <c r="B731" s="10" t="s">
        <v>1598</v>
      </c>
      <c r="C731" s="10" t="s">
        <v>777</v>
      </c>
      <c r="D731" s="10" t="s">
        <v>204</v>
      </c>
      <c r="E731" s="11" t="s">
        <v>8</v>
      </c>
      <c r="F731" s="11" t="s">
        <v>141</v>
      </c>
      <c r="G731" s="10" t="s">
        <v>1600</v>
      </c>
      <c r="H731">
        <v>4360</v>
      </c>
      <c r="M731">
        <v>1.2</v>
      </c>
      <c r="N731">
        <v>45.1</v>
      </c>
      <c r="S731">
        <v>0.57999999999999996</v>
      </c>
      <c r="V731">
        <v>584</v>
      </c>
      <c r="W731">
        <v>3.5</v>
      </c>
      <c r="AB731">
        <v>5.8</v>
      </c>
      <c r="AC731">
        <v>2.9</v>
      </c>
      <c r="AF731">
        <v>5950</v>
      </c>
      <c r="AI731">
        <v>15.8</v>
      </c>
      <c r="AN731">
        <v>584</v>
      </c>
      <c r="AP731" s="16">
        <f>(122*1.24)</f>
        <v>151.28</v>
      </c>
      <c r="AT731">
        <v>4.7</v>
      </c>
      <c r="AW731">
        <v>584</v>
      </c>
      <c r="AZ731">
        <v>584</v>
      </c>
      <c r="BA731">
        <v>12.8</v>
      </c>
      <c r="BD731">
        <v>11.5</v>
      </c>
      <c r="BI731">
        <v>3.9E-2</v>
      </c>
    </row>
    <row r="732" spans="1:61" ht="16" x14ac:dyDescent="0.2">
      <c r="A732" s="19" t="s">
        <v>1597</v>
      </c>
      <c r="B732" s="10" t="s">
        <v>1598</v>
      </c>
      <c r="C732" s="10" t="s">
        <v>777</v>
      </c>
      <c r="D732" s="10" t="s">
        <v>204</v>
      </c>
      <c r="E732" s="11" t="s">
        <v>8</v>
      </c>
      <c r="F732" s="11" t="s">
        <v>140</v>
      </c>
      <c r="G732" s="10" t="s">
        <v>1601</v>
      </c>
      <c r="H732">
        <v>3410</v>
      </c>
      <c r="K732">
        <v>1.1000000000000001</v>
      </c>
      <c r="N732">
        <v>34.200000000000003</v>
      </c>
      <c r="S732">
        <v>0.55000000000000004</v>
      </c>
      <c r="V732">
        <v>554</v>
      </c>
      <c r="W732">
        <v>3.5</v>
      </c>
      <c r="AB732">
        <v>5.5</v>
      </c>
      <c r="AE732">
        <v>2.8</v>
      </c>
      <c r="AF732">
        <v>5080</v>
      </c>
      <c r="AI732">
        <v>9.1</v>
      </c>
      <c r="AN732">
        <v>554</v>
      </c>
      <c r="AP732" s="16">
        <f>(191*1.24)</f>
        <v>236.84</v>
      </c>
      <c r="AT732">
        <v>4.4000000000000004</v>
      </c>
      <c r="AW732">
        <v>554</v>
      </c>
      <c r="AZ732">
        <v>554</v>
      </c>
      <c r="BA732">
        <v>10.7</v>
      </c>
      <c r="BD732">
        <v>13.1</v>
      </c>
      <c r="BI732">
        <v>3.6999999999999998E-2</v>
      </c>
    </row>
    <row r="733" spans="1:61" ht="16" x14ac:dyDescent="0.2">
      <c r="A733" s="19" t="s">
        <v>1597</v>
      </c>
      <c r="B733" s="10" t="s">
        <v>1598</v>
      </c>
      <c r="C733" s="10" t="s">
        <v>777</v>
      </c>
      <c r="D733" s="10" t="s">
        <v>204</v>
      </c>
      <c r="E733" s="11" t="s">
        <v>8</v>
      </c>
      <c r="F733" s="11" t="s">
        <v>141</v>
      </c>
      <c r="G733" s="10" t="s">
        <v>1602</v>
      </c>
      <c r="H733">
        <v>2850</v>
      </c>
      <c r="M733">
        <v>1.2</v>
      </c>
      <c r="N733">
        <v>23.7</v>
      </c>
      <c r="S733">
        <v>0.57999999999999996</v>
      </c>
      <c r="V733">
        <v>580</v>
      </c>
      <c r="W733">
        <v>3.9</v>
      </c>
      <c r="AB733">
        <v>5.8</v>
      </c>
      <c r="AE733">
        <v>2.9</v>
      </c>
      <c r="AF733">
        <v>4420</v>
      </c>
      <c r="AI733">
        <v>8.3000000000000007</v>
      </c>
      <c r="AN733">
        <v>580</v>
      </c>
      <c r="AP733" s="16">
        <f>(85.6*1.24)</f>
        <v>106.14399999999999</v>
      </c>
      <c r="AT733">
        <v>4.5999999999999996</v>
      </c>
      <c r="AW733">
        <v>580</v>
      </c>
      <c r="AZ733">
        <v>580</v>
      </c>
      <c r="BA733">
        <v>9.4</v>
      </c>
      <c r="BD733">
        <v>9.3000000000000007</v>
      </c>
      <c r="BI733">
        <v>3.7999999999999999E-2</v>
      </c>
    </row>
    <row r="734" spans="1:61" ht="16" x14ac:dyDescent="0.2">
      <c r="A734" s="19" t="s">
        <v>1597</v>
      </c>
      <c r="B734" s="10" t="s">
        <v>1598</v>
      </c>
      <c r="C734" s="10" t="s">
        <v>777</v>
      </c>
      <c r="D734" s="10" t="s">
        <v>204</v>
      </c>
      <c r="E734" s="11" t="s">
        <v>8</v>
      </c>
      <c r="F734" s="11" t="s">
        <v>140</v>
      </c>
      <c r="G734" s="10" t="s">
        <v>1603</v>
      </c>
      <c r="H734">
        <v>6150</v>
      </c>
      <c r="K734">
        <v>1.5</v>
      </c>
      <c r="N734">
        <v>45.4</v>
      </c>
      <c r="S734">
        <v>0.64</v>
      </c>
      <c r="V734">
        <v>635</v>
      </c>
      <c r="W734">
        <v>10</v>
      </c>
      <c r="AB734">
        <v>6.4</v>
      </c>
      <c r="AC734">
        <v>4</v>
      </c>
      <c r="AF734">
        <v>10600</v>
      </c>
      <c r="AI734">
        <v>10.7</v>
      </c>
      <c r="AN734">
        <v>635</v>
      </c>
      <c r="AP734" s="16">
        <f>(127*1.24)</f>
        <v>157.47999999999999</v>
      </c>
      <c r="AT734">
        <v>5.0999999999999996</v>
      </c>
      <c r="AW734">
        <v>635</v>
      </c>
      <c r="AZ734">
        <v>635</v>
      </c>
      <c r="BA734">
        <v>21.1</v>
      </c>
      <c r="BD734">
        <v>13.1</v>
      </c>
      <c r="BI734">
        <v>4.2000000000000003E-2</v>
      </c>
    </row>
    <row r="735" spans="1:61" ht="16" x14ac:dyDescent="0.2">
      <c r="A735" s="19" t="s">
        <v>1597</v>
      </c>
      <c r="B735" s="10" t="s">
        <v>1598</v>
      </c>
      <c r="C735" s="10" t="s">
        <v>777</v>
      </c>
      <c r="D735" s="10" t="s">
        <v>204</v>
      </c>
      <c r="E735" s="11" t="s">
        <v>8</v>
      </c>
      <c r="F735" s="11" t="s">
        <v>141</v>
      </c>
      <c r="G735" s="10" t="s">
        <v>1604</v>
      </c>
      <c r="H735">
        <v>3650</v>
      </c>
      <c r="M735">
        <v>1.2</v>
      </c>
      <c r="N735">
        <v>43.8</v>
      </c>
      <c r="S735">
        <v>0.6</v>
      </c>
      <c r="V735">
        <v>601</v>
      </c>
      <c r="W735">
        <v>3.5</v>
      </c>
      <c r="AB735">
        <v>6</v>
      </c>
      <c r="AE735">
        <v>3</v>
      </c>
      <c r="AF735">
        <v>4710</v>
      </c>
      <c r="AI735">
        <v>9.8000000000000007</v>
      </c>
      <c r="AN735">
        <v>601</v>
      </c>
      <c r="AP735" s="16">
        <f>(175*1.24)</f>
        <v>217</v>
      </c>
      <c r="AT735">
        <v>4.8</v>
      </c>
      <c r="AW735">
        <v>601</v>
      </c>
      <c r="AZ735">
        <v>601</v>
      </c>
      <c r="BA735">
        <v>9.9</v>
      </c>
      <c r="BD735">
        <v>13.4</v>
      </c>
      <c r="BI735">
        <v>0.4</v>
      </c>
    </row>
    <row r="736" spans="1:61" ht="16" x14ac:dyDescent="0.2">
      <c r="A736" s="19" t="s">
        <v>1597</v>
      </c>
      <c r="B736" s="10" t="s">
        <v>1598</v>
      </c>
      <c r="C736" s="10" t="s">
        <v>777</v>
      </c>
      <c r="D736" s="10" t="s">
        <v>204</v>
      </c>
      <c r="E736" s="11" t="s">
        <v>8</v>
      </c>
      <c r="F736" s="11" t="s">
        <v>140</v>
      </c>
      <c r="G736" s="10" t="s">
        <v>1605</v>
      </c>
      <c r="H736">
        <v>3390</v>
      </c>
      <c r="M736">
        <v>1.1000000000000001</v>
      </c>
      <c r="N736">
        <v>39.6</v>
      </c>
      <c r="S736">
        <v>0.56999999999999995</v>
      </c>
      <c r="V736">
        <v>573</v>
      </c>
      <c r="W736">
        <v>3.2</v>
      </c>
      <c r="AB736">
        <v>5.7</v>
      </c>
      <c r="AE736">
        <v>2.9</v>
      </c>
      <c r="AF736">
        <v>4560</v>
      </c>
      <c r="AI736">
        <v>9.1999999999999993</v>
      </c>
      <c r="AN736">
        <v>573</v>
      </c>
      <c r="AP736" s="16">
        <f>(155*1.24)</f>
        <v>192.2</v>
      </c>
      <c r="AT736">
        <v>4.5999999999999996</v>
      </c>
      <c r="AW736">
        <v>573</v>
      </c>
      <c r="AZ736">
        <v>573</v>
      </c>
      <c r="BA736">
        <v>9.1999999999999993</v>
      </c>
      <c r="BD736">
        <v>14.2</v>
      </c>
      <c r="BI736">
        <v>0.38</v>
      </c>
    </row>
    <row r="737" spans="1:61" ht="16" x14ac:dyDescent="0.2">
      <c r="A737" s="25" t="s">
        <v>1597</v>
      </c>
      <c r="B737" t="s">
        <v>1598</v>
      </c>
      <c r="C737" t="s">
        <v>777</v>
      </c>
      <c r="D737" t="s">
        <v>204</v>
      </c>
      <c r="E737" s="1" t="s">
        <v>8</v>
      </c>
      <c r="F737" s="1" t="s">
        <v>141</v>
      </c>
      <c r="G737" t="s">
        <v>1606</v>
      </c>
      <c r="H737">
        <v>3950</v>
      </c>
      <c r="M737">
        <v>1.1000000000000001</v>
      </c>
      <c r="O737" s="16">
        <f>(19.5*3.99)</f>
        <v>77.805000000000007</v>
      </c>
      <c r="S737">
        <v>0.55000000000000004</v>
      </c>
      <c r="V737">
        <v>554</v>
      </c>
      <c r="W737">
        <v>2.9</v>
      </c>
      <c r="AB737">
        <v>5.5</v>
      </c>
      <c r="AC737" t="s">
        <v>155</v>
      </c>
      <c r="AF737">
        <v>5040</v>
      </c>
      <c r="AI737">
        <v>8.3000000000000007</v>
      </c>
      <c r="AN737">
        <v>554</v>
      </c>
      <c r="AP737" s="16">
        <f>(44.6*1.24)</f>
        <v>55.304000000000002</v>
      </c>
      <c r="AT737">
        <v>4.4000000000000004</v>
      </c>
      <c r="AW737">
        <v>554</v>
      </c>
      <c r="AZ737">
        <v>554</v>
      </c>
      <c r="BA737">
        <v>9.5</v>
      </c>
      <c r="BD737">
        <v>8</v>
      </c>
      <c r="BI737">
        <v>0.37</v>
      </c>
    </row>
    <row r="738" spans="1:61" ht="16" x14ac:dyDescent="0.2">
      <c r="A738" s="19" t="s">
        <v>1597</v>
      </c>
      <c r="B738" s="10" t="s">
        <v>1598</v>
      </c>
      <c r="C738" s="10" t="s">
        <v>777</v>
      </c>
      <c r="D738" s="10" t="s">
        <v>204</v>
      </c>
      <c r="E738" s="11" t="s">
        <v>8</v>
      </c>
      <c r="F738" s="11" t="s">
        <v>140</v>
      </c>
      <c r="G738" s="10" t="s">
        <v>1607</v>
      </c>
      <c r="H738">
        <v>5230</v>
      </c>
      <c r="L738" s="16">
        <f>(1.2*1.74)</f>
        <v>2.0880000000000001</v>
      </c>
      <c r="N738">
        <v>27.6</v>
      </c>
      <c r="S738">
        <v>0.61</v>
      </c>
      <c r="V738">
        <v>606</v>
      </c>
      <c r="X738" s="16">
        <f>(4.1*1.29)</f>
        <v>5.2889999999999997</v>
      </c>
      <c r="AB738">
        <v>6.1</v>
      </c>
      <c r="AE738">
        <v>3</v>
      </c>
      <c r="AG738" s="16">
        <f>(7460*1.34)</f>
        <v>9996.4000000000015</v>
      </c>
      <c r="AI738">
        <v>10.7</v>
      </c>
      <c r="AN738">
        <v>606</v>
      </c>
      <c r="AP738" s="16">
        <f>(81.2*1.24)</f>
        <v>100.688</v>
      </c>
      <c r="AT738">
        <v>4.8</v>
      </c>
      <c r="AW738">
        <v>606</v>
      </c>
      <c r="AZ738">
        <v>606</v>
      </c>
      <c r="BB738" s="16">
        <f>(16.3*1.34)</f>
        <v>21.842000000000002</v>
      </c>
      <c r="BD738">
        <v>9.6999999999999993</v>
      </c>
      <c r="BI738">
        <v>0.04</v>
      </c>
    </row>
    <row r="739" spans="1:61" ht="16" x14ac:dyDescent="0.2">
      <c r="A739" s="25" t="s">
        <v>1597</v>
      </c>
      <c r="B739" t="s">
        <v>1598</v>
      </c>
      <c r="C739" t="s">
        <v>777</v>
      </c>
      <c r="D739" t="s">
        <v>204</v>
      </c>
      <c r="E739" s="1" t="s">
        <v>8</v>
      </c>
      <c r="F739" s="1" t="s">
        <v>141</v>
      </c>
      <c r="G739" t="s">
        <v>1608</v>
      </c>
      <c r="H739">
        <v>2900</v>
      </c>
      <c r="M739">
        <v>1.1000000000000001</v>
      </c>
      <c r="N739">
        <v>33.9</v>
      </c>
      <c r="S739">
        <v>0.56999999999999995</v>
      </c>
      <c r="V739">
        <v>566</v>
      </c>
      <c r="W739">
        <v>3</v>
      </c>
      <c r="AB739">
        <v>5.7</v>
      </c>
      <c r="AC739" t="s">
        <v>155</v>
      </c>
      <c r="AF739">
        <v>3460</v>
      </c>
      <c r="AI739">
        <v>11.6</v>
      </c>
      <c r="AN739">
        <v>566</v>
      </c>
      <c r="AP739" s="16">
        <f>(139*1.24)</f>
        <v>172.35999999999999</v>
      </c>
      <c r="AT739">
        <v>4.5</v>
      </c>
      <c r="AW739">
        <v>566</v>
      </c>
      <c r="AZ739">
        <v>566</v>
      </c>
      <c r="BA739">
        <v>7.3</v>
      </c>
      <c r="BD739">
        <v>8.1999999999999993</v>
      </c>
      <c r="BI739">
        <v>3.6999999999999998E-2</v>
      </c>
    </row>
    <row r="740" spans="1:61" ht="16" x14ac:dyDescent="0.2">
      <c r="A740" s="19" t="s">
        <v>1597</v>
      </c>
      <c r="B740" s="10" t="s">
        <v>1598</v>
      </c>
      <c r="C740" s="10" t="s">
        <v>777</v>
      </c>
      <c r="D740" s="10" t="s">
        <v>204</v>
      </c>
      <c r="E740" s="11" t="s">
        <v>8</v>
      </c>
      <c r="F740" s="11" t="s">
        <v>140</v>
      </c>
      <c r="G740" s="10" t="s">
        <v>1609</v>
      </c>
      <c r="H740">
        <v>8570</v>
      </c>
      <c r="K740">
        <v>1.2</v>
      </c>
      <c r="N740">
        <v>51.1</v>
      </c>
      <c r="S740">
        <v>0.61</v>
      </c>
      <c r="V740">
        <v>610</v>
      </c>
      <c r="W740">
        <v>5.0999999999999996</v>
      </c>
      <c r="AB740">
        <v>6.1</v>
      </c>
      <c r="AC740">
        <v>4.3</v>
      </c>
      <c r="AF740">
        <v>11700</v>
      </c>
      <c r="AI740">
        <v>15.6</v>
      </c>
      <c r="AL740">
        <v>928</v>
      </c>
      <c r="AP740" s="16">
        <f>(84.3*1.24)</f>
        <v>104.532</v>
      </c>
      <c r="AT740">
        <v>4.9000000000000004</v>
      </c>
      <c r="AW740">
        <v>610</v>
      </c>
      <c r="AZ740">
        <v>610</v>
      </c>
      <c r="BA740">
        <v>21.9</v>
      </c>
      <c r="BD740">
        <v>14.5</v>
      </c>
      <c r="BI740">
        <v>0.04</v>
      </c>
    </row>
    <row r="741" spans="1:61" ht="16" x14ac:dyDescent="0.2">
      <c r="A741" s="25" t="s">
        <v>1597</v>
      </c>
      <c r="B741" t="s">
        <v>1598</v>
      </c>
      <c r="C741" t="s">
        <v>777</v>
      </c>
      <c r="D741" t="s">
        <v>204</v>
      </c>
      <c r="E741" s="1" t="s">
        <v>8</v>
      </c>
      <c r="F741" s="1" t="s">
        <v>141</v>
      </c>
      <c r="G741" t="s">
        <v>1610</v>
      </c>
      <c r="H741">
        <v>3310</v>
      </c>
      <c r="M741">
        <v>1.2</v>
      </c>
      <c r="N741">
        <v>40.4</v>
      </c>
      <c r="S741">
        <v>0.57999999999999996</v>
      </c>
      <c r="V741">
        <v>581</v>
      </c>
      <c r="W741">
        <v>2.9</v>
      </c>
      <c r="AB741">
        <v>5.8</v>
      </c>
      <c r="AC741" t="s">
        <v>155</v>
      </c>
      <c r="AF741">
        <v>4370</v>
      </c>
      <c r="AI741">
        <v>11.2</v>
      </c>
      <c r="AN741">
        <v>581</v>
      </c>
      <c r="AP741" s="16">
        <f>(162*1.24)</f>
        <v>200.88</v>
      </c>
      <c r="AT741">
        <v>4.7</v>
      </c>
      <c r="AW741">
        <v>581</v>
      </c>
      <c r="AZ741">
        <v>581</v>
      </c>
      <c r="BA741">
        <v>9.3000000000000007</v>
      </c>
      <c r="BD741">
        <v>9.8000000000000007</v>
      </c>
      <c r="BI741">
        <v>3.7999999999999999E-2</v>
      </c>
    </row>
    <row r="742" spans="1:61" ht="16" x14ac:dyDescent="0.2">
      <c r="A742" s="25" t="s">
        <v>1597</v>
      </c>
      <c r="B742" t="s">
        <v>1598</v>
      </c>
      <c r="C742" t="s">
        <v>777</v>
      </c>
      <c r="D742" t="s">
        <v>204</v>
      </c>
      <c r="E742" s="1" t="s">
        <v>8</v>
      </c>
      <c r="F742" s="1" t="s">
        <v>140</v>
      </c>
      <c r="G742" t="s">
        <v>1611</v>
      </c>
      <c r="H742">
        <v>4350</v>
      </c>
      <c r="M742">
        <v>1.2</v>
      </c>
      <c r="N742">
        <v>26.7</v>
      </c>
      <c r="S742">
        <v>0.57999999999999996</v>
      </c>
      <c r="V742">
        <v>579</v>
      </c>
      <c r="W742">
        <v>2.6</v>
      </c>
      <c r="AB742">
        <v>5.8</v>
      </c>
      <c r="AC742" t="s">
        <v>155</v>
      </c>
      <c r="AF742">
        <v>3510</v>
      </c>
      <c r="AI742">
        <v>7.1</v>
      </c>
      <c r="AN742">
        <v>579</v>
      </c>
      <c r="AP742" s="16">
        <f>(44.3*1.24)</f>
        <v>54.931999999999995</v>
      </c>
      <c r="AT742">
        <v>4.5999999999999996</v>
      </c>
      <c r="AW742">
        <v>579</v>
      </c>
      <c r="AZ742">
        <v>579</v>
      </c>
      <c r="BA742">
        <v>7.3</v>
      </c>
      <c r="BD742">
        <v>7.1</v>
      </c>
      <c r="BI742">
        <v>3.7999999999999999E-2</v>
      </c>
    </row>
    <row r="743" spans="1:61" ht="16" x14ac:dyDescent="0.2">
      <c r="A743" s="25" t="s">
        <v>1597</v>
      </c>
      <c r="B743" t="s">
        <v>1598</v>
      </c>
      <c r="C743" t="s">
        <v>777</v>
      </c>
      <c r="D743" t="s">
        <v>204</v>
      </c>
      <c r="E743" s="1" t="s">
        <v>8</v>
      </c>
      <c r="F743" s="1" t="s">
        <v>141</v>
      </c>
      <c r="G743" t="s">
        <v>1612</v>
      </c>
      <c r="H743">
        <v>4180</v>
      </c>
      <c r="M743">
        <v>1.1000000000000001</v>
      </c>
      <c r="N743">
        <v>13.4</v>
      </c>
      <c r="S743">
        <v>0.56999999999999995</v>
      </c>
      <c r="V743">
        <v>569</v>
      </c>
      <c r="W743">
        <v>2.4</v>
      </c>
      <c r="AB743">
        <v>5.7</v>
      </c>
      <c r="AC743" t="s">
        <v>155</v>
      </c>
      <c r="AF743">
        <v>3470</v>
      </c>
      <c r="AI743">
        <v>5.3</v>
      </c>
      <c r="AN743">
        <v>569</v>
      </c>
      <c r="AP743" s="16">
        <f>(28.5*1.24)</f>
        <v>35.339999999999996</v>
      </c>
      <c r="AR743" t="s">
        <v>155</v>
      </c>
      <c r="AW743">
        <v>569</v>
      </c>
      <c r="AZ743">
        <v>569</v>
      </c>
      <c r="BA743">
        <v>9</v>
      </c>
      <c r="BD743">
        <v>5.3</v>
      </c>
      <c r="BI743">
        <v>3.7999999999999999E-2</v>
      </c>
    </row>
    <row r="744" spans="1:61" ht="16" x14ac:dyDescent="0.2">
      <c r="A744" s="19" t="s">
        <v>1597</v>
      </c>
      <c r="B744" s="10" t="s">
        <v>1598</v>
      </c>
      <c r="C744" s="10" t="s">
        <v>777</v>
      </c>
      <c r="D744" s="10" t="s">
        <v>204</v>
      </c>
      <c r="E744" s="11" t="s">
        <v>8</v>
      </c>
      <c r="F744" s="11" t="s">
        <v>140</v>
      </c>
      <c r="G744" s="10" t="s">
        <v>1613</v>
      </c>
      <c r="H744">
        <v>5000</v>
      </c>
      <c r="K744">
        <v>1.2</v>
      </c>
      <c r="N744">
        <v>45.8</v>
      </c>
      <c r="S744">
        <v>0.57999999999999996</v>
      </c>
      <c r="T744">
        <v>833</v>
      </c>
      <c r="W744">
        <v>4.0999999999999996</v>
      </c>
      <c r="AB744">
        <v>5.8</v>
      </c>
      <c r="AC744">
        <v>4.5</v>
      </c>
      <c r="AF744">
        <v>6820</v>
      </c>
      <c r="AI744">
        <v>14.8</v>
      </c>
      <c r="AL744">
        <v>679</v>
      </c>
      <c r="AP744" s="16">
        <f>(159*1.24)</f>
        <v>197.16</v>
      </c>
      <c r="AT744">
        <v>4.5999999999999996</v>
      </c>
      <c r="AW744">
        <v>579</v>
      </c>
      <c r="AZ744">
        <v>579</v>
      </c>
      <c r="BA744">
        <v>15.7</v>
      </c>
      <c r="BD744">
        <v>15.9</v>
      </c>
      <c r="BI744">
        <v>3.7999999999999999E-2</v>
      </c>
    </row>
    <row r="745" spans="1:61" ht="16" x14ac:dyDescent="0.2">
      <c r="A745" s="19" t="s">
        <v>1597</v>
      </c>
      <c r="B745" s="10" t="s">
        <v>1598</v>
      </c>
      <c r="C745" s="10" t="s">
        <v>777</v>
      </c>
      <c r="D745" s="10" t="s">
        <v>204</v>
      </c>
      <c r="E745" s="11" t="s">
        <v>8</v>
      </c>
      <c r="F745" s="11" t="s">
        <v>141</v>
      </c>
      <c r="G745" s="10" t="s">
        <v>1614</v>
      </c>
      <c r="H745">
        <v>7240</v>
      </c>
      <c r="K745">
        <v>1.3</v>
      </c>
      <c r="N745">
        <v>145</v>
      </c>
      <c r="S745">
        <v>0.56000000000000005</v>
      </c>
      <c r="V745">
        <v>557</v>
      </c>
      <c r="W745">
        <v>5.8</v>
      </c>
      <c r="AB745">
        <v>5.6</v>
      </c>
      <c r="AC745">
        <v>10.4</v>
      </c>
      <c r="AF745">
        <v>11600</v>
      </c>
      <c r="AI745">
        <v>21.9</v>
      </c>
      <c r="AL745">
        <v>2280</v>
      </c>
      <c r="AP745" s="16">
        <f>(443*1.24)</f>
        <v>549.32000000000005</v>
      </c>
      <c r="AR745">
        <v>4.7</v>
      </c>
      <c r="AU745">
        <v>1450</v>
      </c>
      <c r="AZ745">
        <v>557</v>
      </c>
      <c r="BA745">
        <v>20.399999999999999</v>
      </c>
      <c r="BE745" s="16">
        <f>(33.7*1.5)</f>
        <v>50.550000000000004</v>
      </c>
      <c r="BI745">
        <v>3.6999999999999998E-2</v>
      </c>
    </row>
    <row r="746" spans="1:61" ht="16" x14ac:dyDescent="0.2">
      <c r="A746" s="19" t="s">
        <v>1597</v>
      </c>
      <c r="B746" s="10" t="s">
        <v>1598</v>
      </c>
      <c r="C746" s="10" t="s">
        <v>777</v>
      </c>
      <c r="D746" s="10" t="s">
        <v>204</v>
      </c>
      <c r="E746" s="11" t="s">
        <v>8</v>
      </c>
      <c r="F746" s="11" t="s">
        <v>140</v>
      </c>
      <c r="G746" s="10" t="s">
        <v>1615</v>
      </c>
      <c r="H746">
        <v>7170</v>
      </c>
      <c r="M746">
        <v>1.2</v>
      </c>
      <c r="O746" s="16">
        <f>(26.6*3.99)</f>
        <v>106.13400000000001</v>
      </c>
      <c r="S746">
        <v>0.6</v>
      </c>
      <c r="V746">
        <v>599</v>
      </c>
      <c r="W746">
        <v>3.4</v>
      </c>
      <c r="AB746">
        <v>6</v>
      </c>
      <c r="AE746">
        <v>3</v>
      </c>
      <c r="AF746">
        <v>6960</v>
      </c>
      <c r="AI746">
        <v>10</v>
      </c>
      <c r="AN746">
        <v>599</v>
      </c>
      <c r="AP746" s="16">
        <f>(36.3*1.24)</f>
        <v>45.011999999999993</v>
      </c>
      <c r="AT746">
        <v>4.8</v>
      </c>
      <c r="AW746">
        <v>599</v>
      </c>
      <c r="AZ746">
        <v>599</v>
      </c>
      <c r="BA746">
        <v>13.7</v>
      </c>
      <c r="BE746" s="16">
        <f>(12.2*1.5)</f>
        <v>18.299999999999997</v>
      </c>
      <c r="BI746">
        <v>0.4</v>
      </c>
    </row>
    <row r="747" spans="1:61" ht="16" x14ac:dyDescent="0.2">
      <c r="A747" s="25" t="s">
        <v>1597</v>
      </c>
      <c r="B747" t="s">
        <v>1598</v>
      </c>
      <c r="C747" t="s">
        <v>777</v>
      </c>
      <c r="D747" t="s">
        <v>204</v>
      </c>
      <c r="E747" s="1" t="s">
        <v>8</v>
      </c>
      <c r="F747" s="1" t="s">
        <v>141</v>
      </c>
      <c r="G747" t="s">
        <v>1616</v>
      </c>
      <c r="H747">
        <v>3160</v>
      </c>
      <c r="M747">
        <v>1.1000000000000001</v>
      </c>
      <c r="O747" s="16">
        <f>(28*3.99)</f>
        <v>111.72</v>
      </c>
      <c r="S747">
        <v>0.56999999999999995</v>
      </c>
      <c r="V747">
        <v>571</v>
      </c>
      <c r="W747">
        <v>3.3</v>
      </c>
      <c r="AB747">
        <v>5.7</v>
      </c>
      <c r="AC747" t="s">
        <v>155</v>
      </c>
      <c r="AF747">
        <v>3000</v>
      </c>
      <c r="AI747">
        <v>7.1</v>
      </c>
      <c r="AN747">
        <v>571</v>
      </c>
      <c r="AP747" s="16">
        <f>(63.1*1.24)</f>
        <v>78.244</v>
      </c>
      <c r="AT747">
        <v>4.5999999999999996</v>
      </c>
      <c r="AW747">
        <v>571</v>
      </c>
      <c r="AZ747">
        <v>571</v>
      </c>
      <c r="BA747">
        <v>6.8</v>
      </c>
      <c r="BE747" s="16">
        <f>(7*1.5)</f>
        <v>10.5</v>
      </c>
      <c r="BI747">
        <v>3.7999999999999999E-2</v>
      </c>
    </row>
    <row r="748" spans="1:61" ht="16" x14ac:dyDescent="0.2">
      <c r="A748" s="19" t="s">
        <v>1597</v>
      </c>
      <c r="B748" s="10" t="s">
        <v>1598</v>
      </c>
      <c r="C748" s="10" t="s">
        <v>777</v>
      </c>
      <c r="D748" s="10" t="s">
        <v>204</v>
      </c>
      <c r="E748" s="11" t="s">
        <v>8</v>
      </c>
      <c r="F748" s="11" t="s">
        <v>140</v>
      </c>
      <c r="G748" s="10" t="s">
        <v>1617</v>
      </c>
      <c r="H748">
        <v>6770</v>
      </c>
      <c r="M748">
        <v>1.2</v>
      </c>
      <c r="O748" s="16">
        <f>(56.6*3.99)</f>
        <v>225.83400000000003</v>
      </c>
      <c r="S748">
        <v>0.59</v>
      </c>
      <c r="V748">
        <v>585</v>
      </c>
      <c r="W748">
        <v>8.1999999999999993</v>
      </c>
      <c r="AB748">
        <v>5.9</v>
      </c>
      <c r="AC748">
        <v>6.3</v>
      </c>
      <c r="AF748">
        <v>9430</v>
      </c>
      <c r="AI748">
        <v>12.1</v>
      </c>
      <c r="AL748">
        <v>1250</v>
      </c>
      <c r="AP748" s="16">
        <f>(140*1.24)</f>
        <v>173.6</v>
      </c>
      <c r="AR748">
        <v>5.8</v>
      </c>
      <c r="AW748">
        <v>585</v>
      </c>
      <c r="AZ748">
        <v>585</v>
      </c>
      <c r="BA748">
        <v>20.9</v>
      </c>
      <c r="BE748" s="16">
        <f>(13.8*1.5)</f>
        <v>20.700000000000003</v>
      </c>
      <c r="BI748">
        <v>3.9E-2</v>
      </c>
    </row>
    <row r="749" spans="1:61" ht="16" x14ac:dyDescent="0.2">
      <c r="A749" s="19" t="s">
        <v>1597</v>
      </c>
      <c r="B749" s="10" t="s">
        <v>1598</v>
      </c>
      <c r="C749" s="10" t="s">
        <v>777</v>
      </c>
      <c r="D749" s="10" t="s">
        <v>204</v>
      </c>
      <c r="E749" s="11" t="s">
        <v>8</v>
      </c>
      <c r="F749" s="11" t="s">
        <v>141</v>
      </c>
      <c r="G749" s="10" t="s">
        <v>1618</v>
      </c>
      <c r="H749">
        <v>1620</v>
      </c>
      <c r="K749">
        <v>2.2999999999999998</v>
      </c>
      <c r="O749" s="16">
        <f>(61.5*3.99)</f>
        <v>245.38500000000002</v>
      </c>
      <c r="S749">
        <v>0.59</v>
      </c>
      <c r="V749">
        <v>591</v>
      </c>
      <c r="W749">
        <v>10.1</v>
      </c>
      <c r="AB749">
        <v>5.9</v>
      </c>
      <c r="AC749">
        <v>6</v>
      </c>
      <c r="AF749">
        <v>16100</v>
      </c>
      <c r="AI749">
        <v>17</v>
      </c>
      <c r="AL749">
        <v>1380</v>
      </c>
      <c r="AP749" s="16">
        <f>(111*1.24)</f>
        <v>137.63999999999999</v>
      </c>
      <c r="AT749">
        <v>4.7</v>
      </c>
      <c r="AW749">
        <v>591</v>
      </c>
      <c r="AZ749">
        <v>591</v>
      </c>
      <c r="BA749">
        <v>30.8</v>
      </c>
      <c r="BE749" s="16">
        <f>(18*1.5)</f>
        <v>27</v>
      </c>
      <c r="BI749">
        <v>3.9E-2</v>
      </c>
    </row>
    <row r="750" spans="1:61" ht="16" x14ac:dyDescent="0.2">
      <c r="A750" s="19" t="s">
        <v>1597</v>
      </c>
      <c r="B750" s="10" t="s">
        <v>1598</v>
      </c>
      <c r="C750" s="10" t="s">
        <v>777</v>
      </c>
      <c r="D750" s="10" t="s">
        <v>204</v>
      </c>
      <c r="E750" s="11" t="s">
        <v>8</v>
      </c>
      <c r="F750" s="11" t="s">
        <v>140</v>
      </c>
      <c r="G750" s="10" t="s">
        <v>1619</v>
      </c>
      <c r="H750">
        <v>14500</v>
      </c>
      <c r="K750">
        <v>2.8</v>
      </c>
      <c r="O750" s="16">
        <f>(49.6*3.99)</f>
        <v>197.90400000000002</v>
      </c>
      <c r="S750">
        <v>0.64</v>
      </c>
      <c r="V750">
        <v>639</v>
      </c>
      <c r="W750">
        <v>10.8</v>
      </c>
      <c r="AB750">
        <v>6.4</v>
      </c>
      <c r="AC750">
        <v>3.7</v>
      </c>
      <c r="AF750">
        <v>15400</v>
      </c>
      <c r="AI750">
        <v>14.8</v>
      </c>
      <c r="AN750">
        <v>639</v>
      </c>
      <c r="AP750" s="16">
        <f>(36.7*1.24)</f>
        <v>45.508000000000003</v>
      </c>
      <c r="AT750">
        <v>5.0999999999999996</v>
      </c>
      <c r="AW750">
        <v>639</v>
      </c>
      <c r="AZ750">
        <v>639</v>
      </c>
      <c r="BA750">
        <v>31.6</v>
      </c>
      <c r="BE750" s="16">
        <f>(8.7*1.5)</f>
        <v>13.049999999999999</v>
      </c>
      <c r="BI750">
        <v>4.2000000000000003E-2</v>
      </c>
    </row>
    <row r="751" spans="1:61" ht="16" x14ac:dyDescent="0.2">
      <c r="A751" s="19" t="s">
        <v>1597</v>
      </c>
      <c r="B751" s="10" t="s">
        <v>1598</v>
      </c>
      <c r="C751" s="10" t="s">
        <v>777</v>
      </c>
      <c r="D751" s="10" t="s">
        <v>204</v>
      </c>
      <c r="E751" s="11" t="s">
        <v>8</v>
      </c>
      <c r="F751" s="11" t="s">
        <v>141</v>
      </c>
      <c r="G751" s="10" t="s">
        <v>1620</v>
      </c>
      <c r="H751">
        <v>18200</v>
      </c>
      <c r="K751">
        <v>2.2999999999999998</v>
      </c>
      <c r="O751" s="16">
        <f>(36.9*3.99)</f>
        <v>147.23099999999999</v>
      </c>
      <c r="S751">
        <v>0.64</v>
      </c>
      <c r="V751">
        <v>644</v>
      </c>
      <c r="W751">
        <v>9.1</v>
      </c>
      <c r="AB751">
        <v>6.4</v>
      </c>
      <c r="AC751">
        <v>3.2</v>
      </c>
      <c r="AF751">
        <v>14100</v>
      </c>
      <c r="AI751">
        <v>17.8</v>
      </c>
      <c r="AN751">
        <v>644</v>
      </c>
      <c r="AP751" s="16">
        <f>(44.1*1.24)</f>
        <v>54.684000000000005</v>
      </c>
      <c r="AT751">
        <v>5.0999999999999996</v>
      </c>
      <c r="AW751">
        <v>644</v>
      </c>
      <c r="AZ751">
        <v>644</v>
      </c>
      <c r="BA751">
        <v>27.6</v>
      </c>
      <c r="BE751" s="16">
        <f>(11*1.5)</f>
        <v>16.5</v>
      </c>
      <c r="BI751">
        <v>4.2000000000000003E-2</v>
      </c>
    </row>
    <row r="752" spans="1:61" ht="16" x14ac:dyDescent="0.2">
      <c r="A752" s="19" t="s">
        <v>1597</v>
      </c>
      <c r="B752" s="10" t="s">
        <v>1598</v>
      </c>
      <c r="C752" s="10" t="s">
        <v>777</v>
      </c>
      <c r="D752" s="10" t="s">
        <v>204</v>
      </c>
      <c r="E752" s="11" t="s">
        <v>8</v>
      </c>
      <c r="F752" s="11" t="s">
        <v>140</v>
      </c>
      <c r="G752" s="10" t="s">
        <v>1621</v>
      </c>
      <c r="H752">
        <v>10000</v>
      </c>
      <c r="K752">
        <v>1.8</v>
      </c>
      <c r="O752" s="16">
        <f>(64.4*3.99)</f>
        <v>256.95600000000002</v>
      </c>
      <c r="S752">
        <v>0.61</v>
      </c>
      <c r="V752">
        <v>613</v>
      </c>
      <c r="W752">
        <v>7</v>
      </c>
      <c r="AB752">
        <v>6.1</v>
      </c>
      <c r="AC752">
        <v>4.9000000000000004</v>
      </c>
      <c r="AF752">
        <v>12400</v>
      </c>
      <c r="AI752">
        <v>16.2</v>
      </c>
      <c r="AL752">
        <v>648</v>
      </c>
      <c r="AP752" s="16">
        <f>(88.4*1.24)</f>
        <v>109.616</v>
      </c>
      <c r="AT752">
        <v>4.9000000000000004</v>
      </c>
      <c r="AW752">
        <v>613</v>
      </c>
      <c r="AZ752">
        <v>613</v>
      </c>
      <c r="BA752">
        <v>25.9</v>
      </c>
      <c r="BE752" s="16">
        <f>(13*1.5)</f>
        <v>19.5</v>
      </c>
      <c r="BI752">
        <v>0.04</v>
      </c>
    </row>
    <row r="753" spans="1:61" ht="16" x14ac:dyDescent="0.2">
      <c r="A753" s="19" t="s">
        <v>1597</v>
      </c>
      <c r="B753" s="10" t="s">
        <v>1598</v>
      </c>
      <c r="C753" s="10" t="s">
        <v>777</v>
      </c>
      <c r="D753" s="10" t="s">
        <v>204</v>
      </c>
      <c r="E753" s="11" t="s">
        <v>8</v>
      </c>
      <c r="F753" s="11" t="s">
        <v>141</v>
      </c>
      <c r="G753" s="10" t="s">
        <v>1622</v>
      </c>
      <c r="H753">
        <v>17200</v>
      </c>
      <c r="K753">
        <v>2.6</v>
      </c>
      <c r="O753" s="16">
        <f>(63.2*3.99)</f>
        <v>252.16800000000003</v>
      </c>
      <c r="S753">
        <v>0.66</v>
      </c>
      <c r="V753">
        <v>663</v>
      </c>
      <c r="W753">
        <v>12.2</v>
      </c>
      <c r="AB753">
        <v>6.6</v>
      </c>
      <c r="AC753">
        <v>6.7</v>
      </c>
      <c r="AF753">
        <v>21500</v>
      </c>
      <c r="AI753">
        <v>24.4</v>
      </c>
      <c r="AL753">
        <v>847</v>
      </c>
      <c r="AP753" s="16">
        <f>(130*1.24)</f>
        <v>161.19999999999999</v>
      </c>
      <c r="AT753">
        <v>5.3</v>
      </c>
      <c r="AW753">
        <v>663</v>
      </c>
      <c r="AZ753">
        <v>663</v>
      </c>
      <c r="BA753">
        <v>46.6</v>
      </c>
      <c r="BE753" s="16">
        <f>(21.6*1.5)</f>
        <v>32.400000000000006</v>
      </c>
      <c r="BI753">
        <v>4.3999999999999997E-2</v>
      </c>
    </row>
    <row r="754" spans="1:61" x14ac:dyDescent="0.2">
      <c r="A754" t="s">
        <v>1623</v>
      </c>
      <c r="B754" t="s">
        <v>1624</v>
      </c>
      <c r="C754" t="s">
        <v>1625</v>
      </c>
      <c r="D754" t="s">
        <v>1626</v>
      </c>
      <c r="E754" s="1" t="s">
        <v>168</v>
      </c>
      <c r="G754" t="s">
        <v>1627</v>
      </c>
      <c r="H754" t="s">
        <v>155</v>
      </c>
      <c r="K754">
        <v>4.3</v>
      </c>
      <c r="N754">
        <v>10</v>
      </c>
      <c r="Q754">
        <v>0.15</v>
      </c>
      <c r="T754">
        <v>950</v>
      </c>
      <c r="W754">
        <v>8</v>
      </c>
      <c r="Z754">
        <v>4.0999999999999996</v>
      </c>
      <c r="AC754">
        <v>2</v>
      </c>
      <c r="AF754">
        <v>7800</v>
      </c>
      <c r="AI754">
        <v>3.7</v>
      </c>
      <c r="AL754">
        <v>1500</v>
      </c>
      <c r="AO754">
        <v>58</v>
      </c>
      <c r="AR754">
        <v>7.6</v>
      </c>
      <c r="AU754">
        <v>590</v>
      </c>
      <c r="AZ754">
        <v>120</v>
      </c>
      <c r="BA754">
        <v>8.3000000000000007</v>
      </c>
      <c r="BF754">
        <v>19</v>
      </c>
      <c r="BI754">
        <v>3.8E-3</v>
      </c>
    </row>
    <row r="755" spans="1:61" x14ac:dyDescent="0.2">
      <c r="A755" t="s">
        <v>1623</v>
      </c>
      <c r="B755" t="s">
        <v>1624</v>
      </c>
      <c r="C755" t="s">
        <v>1625</v>
      </c>
      <c r="D755" t="s">
        <v>1626</v>
      </c>
      <c r="E755" s="1" t="s">
        <v>168</v>
      </c>
      <c r="G755" t="s">
        <v>1628</v>
      </c>
      <c r="H755" t="s">
        <v>155</v>
      </c>
      <c r="K755">
        <v>3</v>
      </c>
      <c r="N755">
        <v>18</v>
      </c>
      <c r="Q755">
        <v>0.1</v>
      </c>
      <c r="T755">
        <v>93</v>
      </c>
      <c r="W755">
        <v>12</v>
      </c>
      <c r="Z755">
        <v>0.75</v>
      </c>
      <c r="AC755">
        <v>3.3</v>
      </c>
      <c r="AF755">
        <v>7200</v>
      </c>
      <c r="AI755">
        <v>5.0999999999999996</v>
      </c>
      <c r="AL755">
        <v>950</v>
      </c>
      <c r="AO755">
        <v>24</v>
      </c>
      <c r="AR755">
        <v>3.2</v>
      </c>
      <c r="AU755">
        <v>610</v>
      </c>
      <c r="AX755">
        <v>160</v>
      </c>
      <c r="BA755">
        <v>20</v>
      </c>
      <c r="BF755">
        <v>10</v>
      </c>
      <c r="BI755">
        <v>1.6E-2</v>
      </c>
    </row>
    <row r="756" spans="1:61" x14ac:dyDescent="0.2">
      <c r="A756" t="s">
        <v>1623</v>
      </c>
      <c r="B756" t="s">
        <v>1624</v>
      </c>
      <c r="C756" t="s">
        <v>1625</v>
      </c>
      <c r="D756" t="s">
        <v>1626</v>
      </c>
      <c r="E756" s="1" t="s">
        <v>168</v>
      </c>
      <c r="G756" t="s">
        <v>1629</v>
      </c>
      <c r="H756" t="s">
        <v>155</v>
      </c>
      <c r="K756">
        <v>2.1</v>
      </c>
      <c r="N756">
        <v>37</v>
      </c>
      <c r="Q756">
        <v>0.11</v>
      </c>
      <c r="T756">
        <v>570</v>
      </c>
      <c r="W756">
        <v>11</v>
      </c>
      <c r="Z756">
        <v>2.2000000000000002</v>
      </c>
      <c r="AC756">
        <v>2.1</v>
      </c>
      <c r="AF756">
        <v>5300</v>
      </c>
      <c r="AI756">
        <v>5.0999999999999996</v>
      </c>
      <c r="AL756">
        <v>930</v>
      </c>
      <c r="AO756">
        <v>29</v>
      </c>
      <c r="AR756">
        <v>5.8</v>
      </c>
      <c r="AU756">
        <v>460</v>
      </c>
      <c r="AX756">
        <v>550</v>
      </c>
      <c r="BA756">
        <v>13</v>
      </c>
      <c r="BF756">
        <v>13</v>
      </c>
      <c r="BI756">
        <v>0.01</v>
      </c>
    </row>
    <row r="757" spans="1:61" x14ac:dyDescent="0.2">
      <c r="A757" t="s">
        <v>1623</v>
      </c>
      <c r="B757" t="s">
        <v>1624</v>
      </c>
      <c r="C757" t="s">
        <v>1625</v>
      </c>
      <c r="D757" t="s">
        <v>1626</v>
      </c>
      <c r="E757" s="1" t="s">
        <v>168</v>
      </c>
      <c r="G757" t="s">
        <v>1630</v>
      </c>
      <c r="H757" t="s">
        <v>155</v>
      </c>
      <c r="K757">
        <v>5.0999999999999996</v>
      </c>
      <c r="N757">
        <v>71</v>
      </c>
      <c r="Q757">
        <v>0.22</v>
      </c>
      <c r="T757">
        <v>5100</v>
      </c>
      <c r="W757">
        <v>43</v>
      </c>
      <c r="Z757">
        <v>5.4</v>
      </c>
      <c r="AC757">
        <v>7.1</v>
      </c>
      <c r="AF757">
        <v>22000</v>
      </c>
      <c r="AI757">
        <v>16</v>
      </c>
      <c r="AL757">
        <v>4400</v>
      </c>
      <c r="AO757">
        <v>120</v>
      </c>
      <c r="AR757">
        <v>14</v>
      </c>
      <c r="AU757">
        <v>2300</v>
      </c>
      <c r="AZ757">
        <v>140</v>
      </c>
      <c r="BA757">
        <v>37</v>
      </c>
      <c r="BF757">
        <v>54</v>
      </c>
      <c r="BI757">
        <v>2.5000000000000001E-2</v>
      </c>
    </row>
    <row r="758" spans="1:61" x14ac:dyDescent="0.2">
      <c r="A758" t="s">
        <v>1623</v>
      </c>
      <c r="B758" t="s">
        <v>1624</v>
      </c>
      <c r="C758" t="s">
        <v>1625</v>
      </c>
      <c r="D758" t="s">
        <v>1626</v>
      </c>
      <c r="E758" s="1" t="s">
        <v>168</v>
      </c>
      <c r="G758" t="s">
        <v>1631</v>
      </c>
      <c r="H758" t="s">
        <v>155</v>
      </c>
      <c r="K758">
        <v>3.6</v>
      </c>
      <c r="N758">
        <v>17</v>
      </c>
      <c r="Q758">
        <v>0.14000000000000001</v>
      </c>
      <c r="T758">
        <v>100</v>
      </c>
      <c r="W758">
        <v>15</v>
      </c>
      <c r="Z758">
        <v>0.96</v>
      </c>
      <c r="AC758">
        <v>2.2999999999999998</v>
      </c>
      <c r="AF758">
        <v>8200</v>
      </c>
      <c r="AI758">
        <v>5</v>
      </c>
      <c r="AL758">
        <v>870</v>
      </c>
      <c r="AO758">
        <v>24</v>
      </c>
      <c r="AR758">
        <v>3.2</v>
      </c>
      <c r="AU758">
        <v>520</v>
      </c>
      <c r="AX758">
        <v>430</v>
      </c>
      <c r="BA758">
        <v>22</v>
      </c>
      <c r="BF758">
        <v>9.1</v>
      </c>
      <c r="BI758">
        <v>6.0000000000000001E-3</v>
      </c>
    </row>
    <row r="759" spans="1:61" x14ac:dyDescent="0.2">
      <c r="A759" t="s">
        <v>1623</v>
      </c>
      <c r="B759" t="s">
        <v>1624</v>
      </c>
      <c r="C759" t="s">
        <v>1625</v>
      </c>
      <c r="D759" t="s">
        <v>1626</v>
      </c>
      <c r="E759" s="1" t="s">
        <v>168</v>
      </c>
      <c r="G759" t="s">
        <v>1632</v>
      </c>
      <c r="H759" t="s">
        <v>155</v>
      </c>
      <c r="K759">
        <v>1.6</v>
      </c>
      <c r="N759">
        <v>49</v>
      </c>
      <c r="Q759">
        <v>0.12</v>
      </c>
      <c r="T759">
        <v>240</v>
      </c>
      <c r="W759">
        <v>13</v>
      </c>
      <c r="Z759">
        <v>1.3</v>
      </c>
      <c r="AC759">
        <v>2.5</v>
      </c>
      <c r="AF759">
        <v>6300</v>
      </c>
      <c r="AI759">
        <v>7</v>
      </c>
      <c r="AL759">
        <v>900</v>
      </c>
      <c r="AO759">
        <v>22</v>
      </c>
      <c r="AR759">
        <v>5.9</v>
      </c>
      <c r="AU759">
        <v>380</v>
      </c>
      <c r="AZ759">
        <v>53</v>
      </c>
      <c r="BA759">
        <v>13</v>
      </c>
      <c r="BF759">
        <v>9.1</v>
      </c>
      <c r="BI759">
        <v>9.4000000000000004E-3</v>
      </c>
    </row>
    <row r="760" spans="1:61" x14ac:dyDescent="0.2">
      <c r="A760" t="s">
        <v>1633</v>
      </c>
      <c r="B760" t="s">
        <v>1634</v>
      </c>
      <c r="C760" t="s">
        <v>1635</v>
      </c>
      <c r="D760" t="s">
        <v>127</v>
      </c>
      <c r="E760" s="1" t="s">
        <v>168</v>
      </c>
      <c r="F760" s="1" t="s">
        <v>140</v>
      </c>
      <c r="G760" t="s">
        <v>1636</v>
      </c>
      <c r="H760" t="s">
        <v>155</v>
      </c>
      <c r="K760" t="s">
        <v>155</v>
      </c>
      <c r="N760" t="s">
        <v>155</v>
      </c>
      <c r="Q760" t="s">
        <v>155</v>
      </c>
      <c r="T760" t="s">
        <v>155</v>
      </c>
      <c r="W760" t="s">
        <v>155</v>
      </c>
      <c r="Z760" t="s">
        <v>155</v>
      </c>
      <c r="AC760" t="s">
        <v>155</v>
      </c>
      <c r="AF760" t="s">
        <v>155</v>
      </c>
      <c r="AI760">
        <v>11.500999999999999</v>
      </c>
      <c r="AL760" t="s">
        <v>155</v>
      </c>
      <c r="AO760" t="s">
        <v>155</v>
      </c>
      <c r="AR760" t="s">
        <v>155</v>
      </c>
      <c r="AU760" t="s">
        <v>155</v>
      </c>
      <c r="AX760" t="s">
        <v>155</v>
      </c>
      <c r="BA760" t="s">
        <v>155</v>
      </c>
      <c r="BD760" t="s">
        <v>155</v>
      </c>
      <c r="BG760" t="s">
        <v>155</v>
      </c>
    </row>
    <row r="761" spans="1:61" x14ac:dyDescent="0.2">
      <c r="A761" t="s">
        <v>1633</v>
      </c>
      <c r="B761" t="s">
        <v>1634</v>
      </c>
      <c r="C761" t="s">
        <v>1635</v>
      </c>
      <c r="D761" t="s">
        <v>127</v>
      </c>
      <c r="E761" s="1" t="s">
        <v>168</v>
      </c>
      <c r="F761" s="1" t="s">
        <v>141</v>
      </c>
      <c r="G761" t="s">
        <v>1637</v>
      </c>
      <c r="H761" t="s">
        <v>155</v>
      </c>
      <c r="K761" t="s">
        <v>155</v>
      </c>
      <c r="N761" t="s">
        <v>155</v>
      </c>
      <c r="Q761" t="s">
        <v>155</v>
      </c>
      <c r="T761" t="s">
        <v>155</v>
      </c>
      <c r="W761" t="s">
        <v>155</v>
      </c>
      <c r="Z761" t="s">
        <v>155</v>
      </c>
      <c r="AC761" t="s">
        <v>155</v>
      </c>
      <c r="AF761" t="s">
        <v>155</v>
      </c>
      <c r="AI761">
        <v>3.327</v>
      </c>
      <c r="AL761" t="s">
        <v>155</v>
      </c>
      <c r="AO761" t="s">
        <v>155</v>
      </c>
      <c r="AR761" t="s">
        <v>155</v>
      </c>
      <c r="AU761" t="s">
        <v>155</v>
      </c>
      <c r="AX761" t="s">
        <v>155</v>
      </c>
      <c r="BA761" t="s">
        <v>155</v>
      </c>
      <c r="BD761" t="s">
        <v>155</v>
      </c>
      <c r="BG761" t="s">
        <v>155</v>
      </c>
    </row>
    <row r="762" spans="1:61" x14ac:dyDescent="0.2">
      <c r="A762" t="s">
        <v>1633</v>
      </c>
      <c r="B762" t="s">
        <v>1634</v>
      </c>
      <c r="C762" t="s">
        <v>1635</v>
      </c>
      <c r="D762" t="s">
        <v>127</v>
      </c>
      <c r="E762" s="1" t="s">
        <v>168</v>
      </c>
      <c r="F762" s="1" t="s">
        <v>140</v>
      </c>
      <c r="G762" t="s">
        <v>1638</v>
      </c>
      <c r="H762" t="s">
        <v>155</v>
      </c>
      <c r="K762">
        <v>4</v>
      </c>
      <c r="P762">
        <v>20</v>
      </c>
      <c r="S762">
        <v>10</v>
      </c>
      <c r="T762" t="s">
        <v>155</v>
      </c>
      <c r="W762">
        <v>40</v>
      </c>
      <c r="Z762" t="s">
        <v>155</v>
      </c>
      <c r="AC762" t="s">
        <v>155</v>
      </c>
      <c r="AF762" t="s">
        <v>155</v>
      </c>
      <c r="AI762">
        <v>300</v>
      </c>
      <c r="AL762" t="s">
        <v>155</v>
      </c>
      <c r="AO762" t="s">
        <v>155</v>
      </c>
      <c r="AR762" t="s">
        <v>155</v>
      </c>
      <c r="AU762" t="s">
        <v>155</v>
      </c>
      <c r="AX762" t="s">
        <v>155</v>
      </c>
      <c r="BA762" t="s">
        <v>155</v>
      </c>
      <c r="BD762" t="s">
        <v>155</v>
      </c>
      <c r="BG762" t="s">
        <v>155</v>
      </c>
    </row>
    <row r="763" spans="1:61" x14ac:dyDescent="0.2">
      <c r="A763" s="10" t="s">
        <v>1639</v>
      </c>
      <c r="B763" s="10" t="s">
        <v>1640</v>
      </c>
      <c r="C763" s="10" t="s">
        <v>764</v>
      </c>
      <c r="D763" s="10" t="s">
        <v>292</v>
      </c>
      <c r="E763" s="11" t="s">
        <v>8</v>
      </c>
      <c r="F763" s="11" t="s">
        <v>140</v>
      </c>
      <c r="G763" s="10" t="s">
        <v>1641</v>
      </c>
      <c r="J763">
        <v>33</v>
      </c>
      <c r="M763">
        <v>0.44</v>
      </c>
      <c r="P763">
        <v>0.78</v>
      </c>
      <c r="S763">
        <v>0.04</v>
      </c>
      <c r="T763">
        <v>38</v>
      </c>
      <c r="Y763">
        <v>0.15</v>
      </c>
      <c r="AB763">
        <v>0.1</v>
      </c>
      <c r="AE763">
        <v>0.13</v>
      </c>
      <c r="AF763">
        <v>36</v>
      </c>
      <c r="AI763">
        <v>1.5</v>
      </c>
      <c r="AN763">
        <v>8.1999999999999993</v>
      </c>
      <c r="AQ763">
        <v>0.84</v>
      </c>
      <c r="AT763">
        <v>0.14000000000000001</v>
      </c>
      <c r="AV763" s="16">
        <f>(8.3*17.49)</f>
        <v>145.167</v>
      </c>
      <c r="AZ763">
        <v>120</v>
      </c>
      <c r="BC763">
        <v>0.28000000000000003</v>
      </c>
      <c r="BE763" s="16">
        <v>0.69</v>
      </c>
      <c r="BI763">
        <v>0.04</v>
      </c>
    </row>
    <row r="764" spans="1:61" x14ac:dyDescent="0.2">
      <c r="A764" s="10" t="s">
        <v>1639</v>
      </c>
      <c r="B764" s="10" t="s">
        <v>1640</v>
      </c>
      <c r="C764" s="10" t="s">
        <v>764</v>
      </c>
      <c r="D764" s="10" t="s">
        <v>292</v>
      </c>
      <c r="E764" s="11" t="s">
        <v>8</v>
      </c>
      <c r="F764" s="11" t="s">
        <v>140</v>
      </c>
      <c r="G764" s="10" t="s">
        <v>1642</v>
      </c>
      <c r="J764">
        <v>34</v>
      </c>
      <c r="M764">
        <v>0.45</v>
      </c>
      <c r="P764">
        <v>0.66</v>
      </c>
      <c r="S764">
        <v>0.04</v>
      </c>
      <c r="T764">
        <v>41</v>
      </c>
      <c r="Y764">
        <v>0.16</v>
      </c>
      <c r="AB764">
        <v>0.1</v>
      </c>
      <c r="AE764">
        <v>0.12</v>
      </c>
      <c r="AF764">
        <v>33</v>
      </c>
      <c r="AI764">
        <v>1.3</v>
      </c>
      <c r="AN764">
        <v>10</v>
      </c>
      <c r="AQ764">
        <v>0.75</v>
      </c>
      <c r="AT764">
        <v>0.14000000000000001</v>
      </c>
      <c r="AV764" s="16">
        <f>(8.4*17.49)</f>
        <v>146.916</v>
      </c>
      <c r="AZ764">
        <v>130</v>
      </c>
      <c r="BC764">
        <v>0.32</v>
      </c>
      <c r="BE764" s="16">
        <v>0.47</v>
      </c>
      <c r="BI764">
        <v>0.04</v>
      </c>
    </row>
    <row r="765" spans="1:61" x14ac:dyDescent="0.2">
      <c r="A765" s="10" t="s">
        <v>1639</v>
      </c>
      <c r="B765" s="10" t="s">
        <v>1640</v>
      </c>
      <c r="C765" s="10" t="s">
        <v>764</v>
      </c>
      <c r="D765" s="10" t="s">
        <v>292</v>
      </c>
      <c r="E765" s="11" t="s">
        <v>8</v>
      </c>
      <c r="F765" s="11" t="s">
        <v>140</v>
      </c>
      <c r="G765" s="10" t="s">
        <v>1643</v>
      </c>
      <c r="H765">
        <v>20000</v>
      </c>
      <c r="K765">
        <v>12</v>
      </c>
      <c r="N765">
        <v>57</v>
      </c>
      <c r="S765">
        <v>0.13</v>
      </c>
      <c r="T765">
        <v>3100</v>
      </c>
      <c r="W765">
        <v>32</v>
      </c>
      <c r="Z765">
        <v>7</v>
      </c>
      <c r="AC765">
        <v>43</v>
      </c>
      <c r="AF765">
        <v>21000</v>
      </c>
      <c r="AI765">
        <v>42</v>
      </c>
      <c r="AL765">
        <v>4000</v>
      </c>
      <c r="AO765">
        <v>180</v>
      </c>
      <c r="AR765">
        <v>10</v>
      </c>
      <c r="AU765">
        <v>1300</v>
      </c>
      <c r="AZ765">
        <v>1300</v>
      </c>
      <c r="BA765">
        <v>57</v>
      </c>
      <c r="BE765" s="16">
        <v>190</v>
      </c>
      <c r="BI765">
        <v>0.28999999999999998</v>
      </c>
    </row>
    <row r="766" spans="1:61" x14ac:dyDescent="0.2">
      <c r="A766" t="s">
        <v>1644</v>
      </c>
      <c r="B766" t="s">
        <v>1645</v>
      </c>
      <c r="C766" t="s">
        <v>1646</v>
      </c>
      <c r="D766" t="s">
        <v>1647</v>
      </c>
      <c r="F766" s="1" t="s">
        <v>141</v>
      </c>
      <c r="G766" t="s">
        <v>1648</v>
      </c>
      <c r="H766">
        <v>33200</v>
      </c>
      <c r="K766" t="s">
        <v>155</v>
      </c>
      <c r="N766" t="s">
        <v>155</v>
      </c>
      <c r="S766">
        <v>1.0900000000000001</v>
      </c>
      <c r="T766" t="s">
        <v>155</v>
      </c>
      <c r="W766" t="s">
        <v>155</v>
      </c>
      <c r="Z766" t="s">
        <v>155</v>
      </c>
      <c r="AC766">
        <v>13.8</v>
      </c>
      <c r="AF766">
        <v>26600</v>
      </c>
      <c r="AI766" t="s">
        <v>155</v>
      </c>
      <c r="AL766" t="s">
        <v>155</v>
      </c>
      <c r="AO766">
        <v>510</v>
      </c>
      <c r="AR766">
        <v>19.600000000000001</v>
      </c>
      <c r="AU766" t="s">
        <v>155</v>
      </c>
      <c r="AX766" t="s">
        <v>155</v>
      </c>
      <c r="BA766" t="s">
        <v>155</v>
      </c>
      <c r="BD766">
        <v>48.1</v>
      </c>
      <c r="BG766" t="s">
        <v>155</v>
      </c>
    </row>
    <row r="767" spans="1:61" x14ac:dyDescent="0.2">
      <c r="A767" t="s">
        <v>1644</v>
      </c>
      <c r="B767" t="s">
        <v>1645</v>
      </c>
      <c r="C767" t="s">
        <v>1646</v>
      </c>
      <c r="D767" t="s">
        <v>1647</v>
      </c>
      <c r="F767" s="1" t="s">
        <v>141</v>
      </c>
      <c r="G767" t="s">
        <v>1649</v>
      </c>
      <c r="H767">
        <v>48700</v>
      </c>
      <c r="K767" t="s">
        <v>155</v>
      </c>
      <c r="N767" t="s">
        <v>155</v>
      </c>
      <c r="S767">
        <v>1.17</v>
      </c>
      <c r="T767" t="s">
        <v>155</v>
      </c>
      <c r="W767" t="s">
        <v>155</v>
      </c>
      <c r="Z767" t="s">
        <v>155</v>
      </c>
      <c r="AC767">
        <v>19.2</v>
      </c>
      <c r="AF767">
        <v>35800</v>
      </c>
      <c r="AI767" t="s">
        <v>155</v>
      </c>
      <c r="AL767" t="s">
        <v>155</v>
      </c>
      <c r="AO767">
        <v>425</v>
      </c>
      <c r="AR767">
        <v>26.2</v>
      </c>
      <c r="AU767" t="s">
        <v>155</v>
      </c>
      <c r="AX767" t="s">
        <v>155</v>
      </c>
      <c r="BA767" t="s">
        <v>155</v>
      </c>
      <c r="BD767">
        <v>69.400000000000006</v>
      </c>
      <c r="BG767" t="s">
        <v>155</v>
      </c>
    </row>
    <row r="768" spans="1:61" x14ac:dyDescent="0.2">
      <c r="A768" t="s">
        <v>1644</v>
      </c>
      <c r="B768" t="s">
        <v>1645</v>
      </c>
      <c r="C768" t="s">
        <v>1646</v>
      </c>
      <c r="D768" t="s">
        <v>1647</v>
      </c>
      <c r="F768" s="1" t="s">
        <v>141</v>
      </c>
      <c r="G768" t="s">
        <v>1650</v>
      </c>
      <c r="H768">
        <v>28500</v>
      </c>
      <c r="K768" t="s">
        <v>155</v>
      </c>
      <c r="N768" t="s">
        <v>155</v>
      </c>
      <c r="S768">
        <v>1.1000000000000001</v>
      </c>
      <c r="T768" t="s">
        <v>155</v>
      </c>
      <c r="W768" t="s">
        <v>155</v>
      </c>
      <c r="Z768" t="s">
        <v>155</v>
      </c>
      <c r="AC768">
        <v>11.7</v>
      </c>
      <c r="AF768">
        <v>24800</v>
      </c>
      <c r="AI768" t="s">
        <v>155</v>
      </c>
      <c r="AL768" t="s">
        <v>155</v>
      </c>
      <c r="AO768">
        <v>746</v>
      </c>
      <c r="AR768">
        <v>21.4</v>
      </c>
      <c r="AU768" t="s">
        <v>155</v>
      </c>
      <c r="AX768" t="s">
        <v>155</v>
      </c>
      <c r="BA768" t="s">
        <v>155</v>
      </c>
      <c r="BD768">
        <v>45.2</v>
      </c>
      <c r="BG768" t="s">
        <v>155</v>
      </c>
    </row>
    <row r="769" spans="1:61" x14ac:dyDescent="0.2">
      <c r="A769" t="s">
        <v>1644</v>
      </c>
      <c r="B769" t="s">
        <v>1645</v>
      </c>
      <c r="C769" t="s">
        <v>1646</v>
      </c>
      <c r="D769" t="s">
        <v>1647</v>
      </c>
      <c r="F769" s="1" t="s">
        <v>141</v>
      </c>
      <c r="G769" t="s">
        <v>1651</v>
      </c>
      <c r="H769">
        <v>22000</v>
      </c>
      <c r="K769" t="s">
        <v>155</v>
      </c>
      <c r="N769" t="s">
        <v>155</v>
      </c>
      <c r="S769">
        <v>1.1399999999999999</v>
      </c>
      <c r="T769" t="s">
        <v>155</v>
      </c>
      <c r="W769" t="s">
        <v>155</v>
      </c>
      <c r="Z769" t="s">
        <v>155</v>
      </c>
      <c r="AC769">
        <v>6.87</v>
      </c>
      <c r="AF769">
        <v>16900</v>
      </c>
      <c r="AI769" t="s">
        <v>155</v>
      </c>
      <c r="AL769" t="s">
        <v>155</v>
      </c>
      <c r="AO769">
        <v>138</v>
      </c>
      <c r="AR769">
        <v>8.92</v>
      </c>
      <c r="AU769" t="s">
        <v>155</v>
      </c>
      <c r="AX769" t="s">
        <v>155</v>
      </c>
      <c r="BA769" t="s">
        <v>155</v>
      </c>
      <c r="BD769">
        <v>23.4</v>
      </c>
      <c r="BG769" t="s">
        <v>155</v>
      </c>
    </row>
    <row r="770" spans="1:61" x14ac:dyDescent="0.2">
      <c r="A770" t="s">
        <v>1644</v>
      </c>
      <c r="B770" t="s">
        <v>1645</v>
      </c>
      <c r="C770" t="s">
        <v>1646</v>
      </c>
      <c r="D770" t="s">
        <v>1647</v>
      </c>
      <c r="F770" s="1" t="s">
        <v>141</v>
      </c>
      <c r="G770" t="s">
        <v>1652</v>
      </c>
      <c r="H770">
        <v>23800</v>
      </c>
      <c r="K770" t="s">
        <v>155</v>
      </c>
      <c r="N770" t="s">
        <v>155</v>
      </c>
      <c r="S770">
        <v>1.1299999999999999</v>
      </c>
      <c r="T770" t="s">
        <v>155</v>
      </c>
      <c r="W770" t="s">
        <v>155</v>
      </c>
      <c r="Z770" t="s">
        <v>155</v>
      </c>
      <c r="AC770">
        <v>9.0399999999999991</v>
      </c>
      <c r="AF770">
        <v>22000</v>
      </c>
      <c r="AI770" t="s">
        <v>155</v>
      </c>
      <c r="AL770" t="s">
        <v>155</v>
      </c>
      <c r="AO770">
        <v>1400</v>
      </c>
      <c r="AR770">
        <v>28.5</v>
      </c>
      <c r="AU770" t="s">
        <v>155</v>
      </c>
      <c r="AX770" t="s">
        <v>155</v>
      </c>
      <c r="BA770" t="s">
        <v>155</v>
      </c>
      <c r="BD770">
        <v>44.2</v>
      </c>
      <c r="BG770" t="s">
        <v>155</v>
      </c>
    </row>
    <row r="771" spans="1:61" x14ac:dyDescent="0.2">
      <c r="A771" t="s">
        <v>1644</v>
      </c>
      <c r="B771" t="s">
        <v>1645</v>
      </c>
      <c r="C771" t="s">
        <v>1646</v>
      </c>
      <c r="D771" t="s">
        <v>1647</v>
      </c>
      <c r="F771" s="1" t="s">
        <v>141</v>
      </c>
      <c r="G771" t="s">
        <v>1653</v>
      </c>
      <c r="H771">
        <v>31500</v>
      </c>
      <c r="K771" t="s">
        <v>155</v>
      </c>
      <c r="N771" t="s">
        <v>155</v>
      </c>
      <c r="S771">
        <v>1.0900000000000001</v>
      </c>
      <c r="T771" t="s">
        <v>155</v>
      </c>
      <c r="W771" t="s">
        <v>155</v>
      </c>
      <c r="Z771" t="s">
        <v>155</v>
      </c>
      <c r="AC771">
        <v>15.8</v>
      </c>
      <c r="AF771">
        <v>28000</v>
      </c>
      <c r="AI771" t="s">
        <v>155</v>
      </c>
      <c r="AL771" t="s">
        <v>155</v>
      </c>
      <c r="AO771">
        <v>769</v>
      </c>
      <c r="AR771">
        <v>22.7</v>
      </c>
      <c r="AU771" t="s">
        <v>155</v>
      </c>
      <c r="AX771" t="s">
        <v>155</v>
      </c>
      <c r="BA771" t="s">
        <v>155</v>
      </c>
      <c r="BD771">
        <v>56.4</v>
      </c>
      <c r="BG771" t="s">
        <v>155</v>
      </c>
    </row>
    <row r="772" spans="1:61" x14ac:dyDescent="0.2">
      <c r="A772" t="s">
        <v>1654</v>
      </c>
      <c r="B772" t="s">
        <v>1655</v>
      </c>
      <c r="C772" t="s">
        <v>151</v>
      </c>
      <c r="D772" t="s">
        <v>152</v>
      </c>
      <c r="E772" s="1" t="s">
        <v>8</v>
      </c>
      <c r="F772" s="1" t="s">
        <v>141</v>
      </c>
      <c r="G772" t="s">
        <v>1656</v>
      </c>
      <c r="H772" t="s">
        <v>155</v>
      </c>
      <c r="K772">
        <v>1.8</v>
      </c>
      <c r="N772" t="s">
        <v>155</v>
      </c>
      <c r="Q772" t="s">
        <v>155</v>
      </c>
      <c r="T772" t="s">
        <v>155</v>
      </c>
      <c r="W772" t="s">
        <v>155</v>
      </c>
      <c r="Z772" t="s">
        <v>155</v>
      </c>
      <c r="AC772" t="s">
        <v>155</v>
      </c>
      <c r="AF772" t="s">
        <v>155</v>
      </c>
      <c r="AI772">
        <v>9.3000000000000007</v>
      </c>
      <c r="AL772" t="s">
        <v>155</v>
      </c>
      <c r="AO772" t="s">
        <v>155</v>
      </c>
      <c r="AR772" t="s">
        <v>155</v>
      </c>
      <c r="AU772" t="s">
        <v>155</v>
      </c>
      <c r="AX772" t="s">
        <v>155</v>
      </c>
      <c r="BA772" t="s">
        <v>155</v>
      </c>
      <c r="BD772" t="s">
        <v>155</v>
      </c>
      <c r="BG772" t="s">
        <v>155</v>
      </c>
    </row>
    <row r="773" spans="1:61" x14ac:dyDescent="0.2">
      <c r="A773" t="s">
        <v>1654</v>
      </c>
      <c r="B773" t="s">
        <v>1655</v>
      </c>
      <c r="C773" t="s">
        <v>151</v>
      </c>
      <c r="D773" t="s">
        <v>152</v>
      </c>
      <c r="E773" s="1" t="s">
        <v>8</v>
      </c>
      <c r="F773" s="1" t="s">
        <v>141</v>
      </c>
      <c r="G773" t="s">
        <v>1657</v>
      </c>
      <c r="H773" t="s">
        <v>155</v>
      </c>
      <c r="K773">
        <v>0.92</v>
      </c>
      <c r="N773" t="s">
        <v>155</v>
      </c>
      <c r="Q773" t="s">
        <v>155</v>
      </c>
      <c r="T773" t="s">
        <v>155</v>
      </c>
      <c r="W773" t="s">
        <v>155</v>
      </c>
      <c r="Z773" t="s">
        <v>155</v>
      </c>
      <c r="AC773" t="s">
        <v>155</v>
      </c>
      <c r="AF773" t="s">
        <v>155</v>
      </c>
      <c r="AI773">
        <v>18</v>
      </c>
      <c r="AL773" t="s">
        <v>155</v>
      </c>
      <c r="AO773" t="s">
        <v>155</v>
      </c>
      <c r="AR773" t="s">
        <v>155</v>
      </c>
      <c r="AU773" t="s">
        <v>155</v>
      </c>
      <c r="AX773" t="s">
        <v>155</v>
      </c>
      <c r="BA773" t="s">
        <v>155</v>
      </c>
      <c r="BD773" t="s">
        <v>155</v>
      </c>
      <c r="BG773" t="s">
        <v>155</v>
      </c>
    </row>
    <row r="774" spans="1:61" x14ac:dyDescent="0.2">
      <c r="A774" t="s">
        <v>1654</v>
      </c>
      <c r="B774" t="s">
        <v>1655</v>
      </c>
      <c r="C774" t="s">
        <v>151</v>
      </c>
      <c r="D774" t="s">
        <v>152</v>
      </c>
      <c r="E774" s="1" t="s">
        <v>8</v>
      </c>
      <c r="F774" s="1" t="s">
        <v>141</v>
      </c>
      <c r="G774" t="s">
        <v>1658</v>
      </c>
      <c r="H774" t="s">
        <v>155</v>
      </c>
      <c r="K774">
        <v>1.8</v>
      </c>
      <c r="N774" t="s">
        <v>155</v>
      </c>
      <c r="Q774" t="s">
        <v>155</v>
      </c>
      <c r="T774" t="s">
        <v>155</v>
      </c>
      <c r="W774" t="s">
        <v>155</v>
      </c>
      <c r="Z774" t="s">
        <v>155</v>
      </c>
      <c r="AC774" t="s">
        <v>155</v>
      </c>
      <c r="AF774" t="s">
        <v>155</v>
      </c>
      <c r="AI774">
        <v>15</v>
      </c>
      <c r="AL774" t="s">
        <v>155</v>
      </c>
      <c r="AO774" t="s">
        <v>155</v>
      </c>
      <c r="AR774" t="s">
        <v>155</v>
      </c>
      <c r="AU774" t="s">
        <v>155</v>
      </c>
      <c r="AX774" t="s">
        <v>155</v>
      </c>
      <c r="BA774" t="s">
        <v>155</v>
      </c>
      <c r="BD774" t="s">
        <v>155</v>
      </c>
      <c r="BG774" t="s">
        <v>155</v>
      </c>
    </row>
    <row r="775" spans="1:61" x14ac:dyDescent="0.2">
      <c r="A775" t="s">
        <v>1654</v>
      </c>
      <c r="B775" t="s">
        <v>1655</v>
      </c>
      <c r="C775" t="s">
        <v>151</v>
      </c>
      <c r="D775" t="s">
        <v>152</v>
      </c>
      <c r="E775" s="1" t="s">
        <v>8</v>
      </c>
      <c r="F775" s="1" t="s">
        <v>141</v>
      </c>
      <c r="G775" t="s">
        <v>1659</v>
      </c>
      <c r="H775" t="s">
        <v>155</v>
      </c>
      <c r="K775">
        <v>1.6</v>
      </c>
      <c r="N775" t="s">
        <v>155</v>
      </c>
      <c r="Q775" t="s">
        <v>155</v>
      </c>
      <c r="T775" t="s">
        <v>155</v>
      </c>
      <c r="W775" t="s">
        <v>155</v>
      </c>
      <c r="Z775" t="s">
        <v>155</v>
      </c>
      <c r="AC775" t="s">
        <v>155</v>
      </c>
      <c r="AF775" t="s">
        <v>155</v>
      </c>
      <c r="AI775">
        <v>27</v>
      </c>
      <c r="AL775" t="s">
        <v>155</v>
      </c>
      <c r="AO775" t="s">
        <v>155</v>
      </c>
      <c r="AR775" t="s">
        <v>155</v>
      </c>
      <c r="AU775" t="s">
        <v>155</v>
      </c>
      <c r="AX775" t="s">
        <v>155</v>
      </c>
      <c r="BA775" t="s">
        <v>155</v>
      </c>
      <c r="BD775" t="s">
        <v>155</v>
      </c>
      <c r="BG775" t="s">
        <v>155</v>
      </c>
    </row>
    <row r="776" spans="1:61" x14ac:dyDescent="0.2">
      <c r="A776" t="s">
        <v>1654</v>
      </c>
      <c r="B776" t="s">
        <v>1655</v>
      </c>
      <c r="C776" t="s">
        <v>151</v>
      </c>
      <c r="D776" t="s">
        <v>152</v>
      </c>
      <c r="E776" s="1" t="s">
        <v>8</v>
      </c>
      <c r="F776" s="1" t="s">
        <v>141</v>
      </c>
      <c r="G776" t="s">
        <v>1660</v>
      </c>
      <c r="H776" t="s">
        <v>155</v>
      </c>
      <c r="K776">
        <v>3.3</v>
      </c>
      <c r="N776" t="s">
        <v>155</v>
      </c>
      <c r="Q776" t="s">
        <v>155</v>
      </c>
      <c r="T776" t="s">
        <v>155</v>
      </c>
      <c r="W776" t="s">
        <v>155</v>
      </c>
      <c r="Z776" t="s">
        <v>155</v>
      </c>
      <c r="AC776" t="s">
        <v>155</v>
      </c>
      <c r="AF776" t="s">
        <v>155</v>
      </c>
      <c r="AI776">
        <v>21</v>
      </c>
      <c r="AL776" t="s">
        <v>155</v>
      </c>
      <c r="AO776" t="s">
        <v>155</v>
      </c>
      <c r="AR776" t="s">
        <v>155</v>
      </c>
      <c r="AU776" t="s">
        <v>155</v>
      </c>
      <c r="AX776" t="s">
        <v>155</v>
      </c>
      <c r="BA776" t="s">
        <v>155</v>
      </c>
      <c r="BD776" t="s">
        <v>155</v>
      </c>
      <c r="BG776" t="s">
        <v>155</v>
      </c>
    </row>
    <row r="777" spans="1:61" x14ac:dyDescent="0.2">
      <c r="A777" t="s">
        <v>1654</v>
      </c>
      <c r="B777" t="s">
        <v>1655</v>
      </c>
      <c r="C777" t="s">
        <v>151</v>
      </c>
      <c r="D777" t="s">
        <v>152</v>
      </c>
      <c r="E777" s="1" t="s">
        <v>8</v>
      </c>
      <c r="F777" s="1" t="s">
        <v>141</v>
      </c>
      <c r="G777" t="s">
        <v>1661</v>
      </c>
      <c r="H777" t="s">
        <v>155</v>
      </c>
      <c r="K777">
        <v>1.7</v>
      </c>
      <c r="N777" t="s">
        <v>155</v>
      </c>
      <c r="Q777" t="s">
        <v>155</v>
      </c>
      <c r="T777" t="s">
        <v>155</v>
      </c>
      <c r="W777" t="s">
        <v>155</v>
      </c>
      <c r="Z777" t="s">
        <v>155</v>
      </c>
      <c r="AC777" t="s">
        <v>155</v>
      </c>
      <c r="AF777" t="s">
        <v>155</v>
      </c>
      <c r="AI777">
        <v>25</v>
      </c>
      <c r="AL777" t="s">
        <v>155</v>
      </c>
      <c r="AO777" t="s">
        <v>155</v>
      </c>
      <c r="AR777" t="s">
        <v>155</v>
      </c>
      <c r="AU777" t="s">
        <v>155</v>
      </c>
      <c r="AX777" t="s">
        <v>155</v>
      </c>
      <c r="BA777" t="s">
        <v>155</v>
      </c>
      <c r="BD777" t="s">
        <v>155</v>
      </c>
      <c r="BG777" t="s">
        <v>155</v>
      </c>
    </row>
    <row r="778" spans="1:61" x14ac:dyDescent="0.2">
      <c r="A778" t="s">
        <v>1654</v>
      </c>
      <c r="B778" t="s">
        <v>1655</v>
      </c>
      <c r="C778" t="s">
        <v>151</v>
      </c>
      <c r="D778" t="s">
        <v>152</v>
      </c>
      <c r="E778" s="1" t="s">
        <v>8</v>
      </c>
      <c r="F778" s="1" t="s">
        <v>141</v>
      </c>
      <c r="G778" t="s">
        <v>1662</v>
      </c>
      <c r="H778" t="s">
        <v>155</v>
      </c>
      <c r="K778">
        <v>1.8</v>
      </c>
      <c r="N778" t="s">
        <v>155</v>
      </c>
      <c r="Q778" t="s">
        <v>155</v>
      </c>
      <c r="T778" t="s">
        <v>155</v>
      </c>
      <c r="W778" t="s">
        <v>155</v>
      </c>
      <c r="Z778" t="s">
        <v>155</v>
      </c>
      <c r="AC778" t="s">
        <v>155</v>
      </c>
      <c r="AF778" t="s">
        <v>155</v>
      </c>
      <c r="AI778">
        <v>16</v>
      </c>
      <c r="AL778" t="s">
        <v>155</v>
      </c>
      <c r="AO778" t="s">
        <v>155</v>
      </c>
      <c r="AR778" t="s">
        <v>155</v>
      </c>
      <c r="AU778" t="s">
        <v>155</v>
      </c>
      <c r="AX778" t="s">
        <v>155</v>
      </c>
      <c r="BA778" t="s">
        <v>155</v>
      </c>
      <c r="BD778" t="s">
        <v>155</v>
      </c>
      <c r="BG778" t="s">
        <v>155</v>
      </c>
    </row>
    <row r="779" spans="1:61" x14ac:dyDescent="0.2">
      <c r="A779" t="s">
        <v>1654</v>
      </c>
      <c r="B779" t="s">
        <v>1655</v>
      </c>
      <c r="C779" t="s">
        <v>151</v>
      </c>
      <c r="D779" t="s">
        <v>152</v>
      </c>
      <c r="E779" s="1" t="s">
        <v>8</v>
      </c>
      <c r="F779" s="1" t="s">
        <v>141</v>
      </c>
      <c r="G779" t="s">
        <v>1663</v>
      </c>
      <c r="H779" t="s">
        <v>155</v>
      </c>
      <c r="K779">
        <v>1.7</v>
      </c>
      <c r="N779" t="s">
        <v>155</v>
      </c>
      <c r="Q779" t="s">
        <v>155</v>
      </c>
      <c r="T779" t="s">
        <v>155</v>
      </c>
      <c r="W779" t="s">
        <v>155</v>
      </c>
      <c r="Z779" t="s">
        <v>155</v>
      </c>
      <c r="AC779" t="s">
        <v>155</v>
      </c>
      <c r="AF779" t="s">
        <v>155</v>
      </c>
      <c r="AI779">
        <v>18</v>
      </c>
      <c r="AL779" t="s">
        <v>155</v>
      </c>
      <c r="AO779" t="s">
        <v>155</v>
      </c>
      <c r="AR779" t="s">
        <v>155</v>
      </c>
      <c r="AU779" t="s">
        <v>155</v>
      </c>
      <c r="AX779" t="s">
        <v>155</v>
      </c>
      <c r="BA779" t="s">
        <v>155</v>
      </c>
      <c r="BD779" t="s">
        <v>155</v>
      </c>
      <c r="BG779" t="s">
        <v>155</v>
      </c>
    </row>
    <row r="780" spans="1:61" x14ac:dyDescent="0.2">
      <c r="A780" t="s">
        <v>1654</v>
      </c>
      <c r="B780" t="s">
        <v>1655</v>
      </c>
      <c r="C780" t="s">
        <v>151</v>
      </c>
      <c r="D780" t="s">
        <v>152</v>
      </c>
      <c r="E780" s="1" t="s">
        <v>8</v>
      </c>
      <c r="F780" s="1" t="s">
        <v>141</v>
      </c>
      <c r="G780" t="s">
        <v>1664</v>
      </c>
      <c r="H780" t="s">
        <v>155</v>
      </c>
      <c r="K780">
        <v>2.2000000000000002</v>
      </c>
      <c r="N780" t="s">
        <v>155</v>
      </c>
      <c r="Q780" t="s">
        <v>155</v>
      </c>
      <c r="T780" t="s">
        <v>155</v>
      </c>
      <c r="W780" t="s">
        <v>155</v>
      </c>
      <c r="Z780" t="s">
        <v>155</v>
      </c>
      <c r="AC780" t="s">
        <v>155</v>
      </c>
      <c r="AF780" t="s">
        <v>155</v>
      </c>
      <c r="AI780">
        <v>19</v>
      </c>
      <c r="AL780" t="s">
        <v>155</v>
      </c>
      <c r="AO780" t="s">
        <v>155</v>
      </c>
      <c r="AR780" t="s">
        <v>155</v>
      </c>
      <c r="AU780" t="s">
        <v>155</v>
      </c>
      <c r="AX780" t="s">
        <v>155</v>
      </c>
      <c r="BA780" t="s">
        <v>155</v>
      </c>
      <c r="BD780" t="s">
        <v>155</v>
      </c>
      <c r="BG780" t="s">
        <v>155</v>
      </c>
    </row>
    <row r="781" spans="1:61" x14ac:dyDescent="0.2">
      <c r="A781" t="s">
        <v>1654</v>
      </c>
      <c r="B781" t="s">
        <v>1655</v>
      </c>
      <c r="C781" t="s">
        <v>151</v>
      </c>
      <c r="D781" t="s">
        <v>152</v>
      </c>
      <c r="E781" s="1" t="s">
        <v>8</v>
      </c>
      <c r="F781" s="1" t="s">
        <v>141</v>
      </c>
      <c r="G781" t="s">
        <v>1665</v>
      </c>
      <c r="H781" t="s">
        <v>155</v>
      </c>
      <c r="K781">
        <v>1.5</v>
      </c>
      <c r="N781" t="s">
        <v>155</v>
      </c>
      <c r="Q781" t="s">
        <v>155</v>
      </c>
      <c r="T781" t="s">
        <v>155</v>
      </c>
      <c r="W781" t="s">
        <v>155</v>
      </c>
      <c r="Z781" t="s">
        <v>155</v>
      </c>
      <c r="AC781" t="s">
        <v>155</v>
      </c>
      <c r="AF781" t="s">
        <v>155</v>
      </c>
      <c r="AI781">
        <v>30</v>
      </c>
      <c r="AL781" t="s">
        <v>155</v>
      </c>
      <c r="AO781" t="s">
        <v>155</v>
      </c>
      <c r="AR781" t="s">
        <v>155</v>
      </c>
      <c r="AU781" t="s">
        <v>155</v>
      </c>
      <c r="AX781" t="s">
        <v>155</v>
      </c>
      <c r="BA781" t="s">
        <v>155</v>
      </c>
      <c r="BD781" t="s">
        <v>155</v>
      </c>
      <c r="BG781" t="s">
        <v>155</v>
      </c>
    </row>
    <row r="782" spans="1:61" x14ac:dyDescent="0.2">
      <c r="A782" t="s">
        <v>1666</v>
      </c>
      <c r="B782" t="s">
        <v>1667</v>
      </c>
      <c r="C782" t="s">
        <v>626</v>
      </c>
      <c r="D782" t="s">
        <v>627</v>
      </c>
      <c r="E782" s="1" t="s">
        <v>8</v>
      </c>
      <c r="F782" s="1" t="s">
        <v>153</v>
      </c>
      <c r="G782" t="s">
        <v>1668</v>
      </c>
      <c r="H782" t="s">
        <v>155</v>
      </c>
      <c r="M782">
        <v>2</v>
      </c>
      <c r="N782">
        <v>16</v>
      </c>
      <c r="S782">
        <v>9.8000000000000007</v>
      </c>
      <c r="T782" t="s">
        <v>155</v>
      </c>
      <c r="Y782">
        <v>9.8000000000000007</v>
      </c>
      <c r="Z782" t="s">
        <v>155</v>
      </c>
      <c r="AE782">
        <v>9.8000000000000007</v>
      </c>
      <c r="AF782">
        <v>3400</v>
      </c>
      <c r="AK782">
        <v>20</v>
      </c>
      <c r="AL782" t="s">
        <v>155</v>
      </c>
      <c r="AO782">
        <v>67</v>
      </c>
      <c r="AR782" t="s">
        <v>155</v>
      </c>
      <c r="AU782" t="s">
        <v>155</v>
      </c>
      <c r="AX782" t="s">
        <v>155</v>
      </c>
      <c r="BA782" t="s">
        <v>155</v>
      </c>
      <c r="BF782">
        <v>9.8000000000000007</v>
      </c>
      <c r="BI782">
        <v>0.09</v>
      </c>
    </row>
    <row r="783" spans="1:61" x14ac:dyDescent="0.2">
      <c r="A783" t="s">
        <v>1666</v>
      </c>
      <c r="B783" t="s">
        <v>1667</v>
      </c>
      <c r="C783" t="s">
        <v>626</v>
      </c>
      <c r="D783" t="s">
        <v>627</v>
      </c>
      <c r="E783" s="1" t="s">
        <v>8</v>
      </c>
      <c r="F783" s="1" t="s">
        <v>140</v>
      </c>
      <c r="G783" t="s">
        <v>1669</v>
      </c>
      <c r="H783" t="s">
        <v>155</v>
      </c>
      <c r="M783">
        <v>2</v>
      </c>
      <c r="N783">
        <v>18</v>
      </c>
      <c r="S783">
        <v>9.8000000000000007</v>
      </c>
      <c r="T783" t="s">
        <v>155</v>
      </c>
      <c r="Y783">
        <v>9.8000000000000007</v>
      </c>
      <c r="Z783" t="s">
        <v>155</v>
      </c>
      <c r="AE783">
        <v>9.8000000000000007</v>
      </c>
      <c r="AF783">
        <v>3300</v>
      </c>
      <c r="AI783">
        <v>20</v>
      </c>
      <c r="AL783" t="s">
        <v>155</v>
      </c>
      <c r="AO783">
        <v>59</v>
      </c>
      <c r="AR783" t="s">
        <v>155</v>
      </c>
      <c r="AU783" t="s">
        <v>155</v>
      </c>
      <c r="AX783" t="s">
        <v>155</v>
      </c>
      <c r="BA783" t="s">
        <v>155</v>
      </c>
      <c r="BF783">
        <v>9.8000000000000007</v>
      </c>
      <c r="BI783">
        <v>0.09</v>
      </c>
    </row>
    <row r="784" spans="1:61" x14ac:dyDescent="0.2">
      <c r="A784" t="s">
        <v>1666</v>
      </c>
      <c r="B784" t="s">
        <v>1667</v>
      </c>
      <c r="C784" t="s">
        <v>626</v>
      </c>
      <c r="D784" t="s">
        <v>627</v>
      </c>
      <c r="E784" s="1" t="s">
        <v>8</v>
      </c>
      <c r="F784" s="1" t="s">
        <v>140</v>
      </c>
      <c r="G784" t="s">
        <v>1670</v>
      </c>
      <c r="H784" t="s">
        <v>155</v>
      </c>
      <c r="K784" t="s">
        <v>155</v>
      </c>
      <c r="N784">
        <v>19</v>
      </c>
      <c r="Q784" t="s">
        <v>155</v>
      </c>
      <c r="T784" t="s">
        <v>155</v>
      </c>
      <c r="W784">
        <v>2.9</v>
      </c>
      <c r="Z784" t="s">
        <v>155</v>
      </c>
      <c r="AC784" t="s">
        <v>155</v>
      </c>
      <c r="AF784">
        <v>5900</v>
      </c>
      <c r="AI784">
        <v>14</v>
      </c>
      <c r="AL784" t="s">
        <v>155</v>
      </c>
      <c r="AO784">
        <v>20</v>
      </c>
      <c r="AR784" t="s">
        <v>155</v>
      </c>
      <c r="AV784" s="16">
        <f>(710*17.49)</f>
        <v>12417.9</v>
      </c>
      <c r="AX784">
        <v>57</v>
      </c>
      <c r="BA784">
        <v>13</v>
      </c>
      <c r="BD784">
        <v>15</v>
      </c>
      <c r="BG784" t="s">
        <v>155</v>
      </c>
    </row>
    <row r="785" spans="1:61" x14ac:dyDescent="0.2">
      <c r="A785" s="10" t="s">
        <v>1666</v>
      </c>
      <c r="B785" s="10" t="s">
        <v>1667</v>
      </c>
      <c r="C785" s="10" t="s">
        <v>626</v>
      </c>
      <c r="D785" s="10" t="s">
        <v>627</v>
      </c>
      <c r="E785" s="11" t="s">
        <v>8</v>
      </c>
      <c r="F785" s="11" t="s">
        <v>153</v>
      </c>
      <c r="G785" s="10" t="s">
        <v>1671</v>
      </c>
      <c r="I785" s="16">
        <f>(4800*1.66)</f>
        <v>7968</v>
      </c>
      <c r="M785">
        <v>0.48</v>
      </c>
      <c r="N785">
        <v>53</v>
      </c>
      <c r="S785">
        <v>0.08</v>
      </c>
      <c r="V785">
        <v>490</v>
      </c>
      <c r="W785">
        <v>2.9</v>
      </c>
      <c r="AA785" s="16">
        <f>(2.3*1.25)</f>
        <v>2.875</v>
      </c>
      <c r="AE785">
        <v>6</v>
      </c>
      <c r="AF785">
        <v>4800</v>
      </c>
      <c r="AI785">
        <v>7</v>
      </c>
      <c r="AM785" s="16">
        <f>(710*1.23)</f>
        <v>873.3</v>
      </c>
      <c r="AO785">
        <v>100</v>
      </c>
      <c r="AR785">
        <v>1.5</v>
      </c>
      <c r="AU785">
        <v>300</v>
      </c>
      <c r="AX785">
        <v>89</v>
      </c>
      <c r="BA785">
        <v>13</v>
      </c>
      <c r="BD785">
        <v>14</v>
      </c>
      <c r="BI785">
        <v>0.06</v>
      </c>
    </row>
    <row r="786" spans="1:61" x14ac:dyDescent="0.2">
      <c r="A786" s="10" t="s">
        <v>1666</v>
      </c>
      <c r="B786" s="10" t="s">
        <v>1667</v>
      </c>
      <c r="C786" s="10" t="s">
        <v>626</v>
      </c>
      <c r="D786" s="10" t="s">
        <v>627</v>
      </c>
      <c r="E786" s="11" t="s">
        <v>8</v>
      </c>
      <c r="F786" s="11" t="s">
        <v>153</v>
      </c>
      <c r="G786" s="10" t="s">
        <v>1672</v>
      </c>
      <c r="I786" s="16">
        <f>(2800*1.66)</f>
        <v>4648</v>
      </c>
      <c r="M786">
        <v>0.55000000000000004</v>
      </c>
      <c r="N786">
        <v>29</v>
      </c>
      <c r="S786">
        <v>0.09</v>
      </c>
      <c r="V786">
        <v>590</v>
      </c>
      <c r="W786">
        <v>2.8</v>
      </c>
      <c r="AA786" s="16">
        <f>(1.9*1.25)</f>
        <v>2.375</v>
      </c>
      <c r="AE786">
        <v>5</v>
      </c>
      <c r="AF786">
        <v>4900</v>
      </c>
      <c r="AI786">
        <v>7.3</v>
      </c>
      <c r="AM786" s="16">
        <f>(790*1.23)</f>
        <v>971.69999999999993</v>
      </c>
      <c r="AO786">
        <v>130</v>
      </c>
      <c r="AR786">
        <v>1.5</v>
      </c>
      <c r="AU786">
        <v>430</v>
      </c>
      <c r="AX786">
        <v>79</v>
      </c>
      <c r="BA786">
        <v>10</v>
      </c>
      <c r="BD786">
        <v>14</v>
      </c>
      <c r="BI786">
        <v>7.0000000000000007E-2</v>
      </c>
    </row>
    <row r="787" spans="1:61" x14ac:dyDescent="0.2">
      <c r="A787" s="10" t="s">
        <v>1666</v>
      </c>
      <c r="B787" s="10" t="s">
        <v>1667</v>
      </c>
      <c r="C787" s="10" t="s">
        <v>626</v>
      </c>
      <c r="D787" s="10" t="s">
        <v>627</v>
      </c>
      <c r="E787" s="11" t="s">
        <v>8</v>
      </c>
      <c r="F787" s="11" t="s">
        <v>153</v>
      </c>
      <c r="G787" s="10" t="s">
        <v>1673</v>
      </c>
      <c r="I787" s="16">
        <f>(9300*1.66)</f>
        <v>15438</v>
      </c>
      <c r="M787">
        <v>0.71</v>
      </c>
      <c r="N787">
        <v>100</v>
      </c>
      <c r="S787">
        <v>0.11</v>
      </c>
      <c r="U787" s="16">
        <f>(2000*1.29)</f>
        <v>2580</v>
      </c>
      <c r="W787">
        <v>11</v>
      </c>
      <c r="AA787" s="16">
        <f>(10*1.25)</f>
        <v>12.5</v>
      </c>
      <c r="AC787">
        <v>18</v>
      </c>
      <c r="AF787">
        <v>18000</v>
      </c>
      <c r="AI787">
        <v>15</v>
      </c>
      <c r="AM787" s="16">
        <f>(3500*1.23)</f>
        <v>4305</v>
      </c>
      <c r="AO787">
        <v>440</v>
      </c>
      <c r="AR787">
        <v>7</v>
      </c>
      <c r="AU787">
        <v>1700</v>
      </c>
      <c r="AX787">
        <v>160</v>
      </c>
      <c r="BA787">
        <v>40</v>
      </c>
      <c r="BD787">
        <v>60</v>
      </c>
      <c r="BI787">
        <v>0.09</v>
      </c>
    </row>
    <row r="788" spans="1:61" x14ac:dyDescent="0.2">
      <c r="A788" t="s">
        <v>1674</v>
      </c>
      <c r="B788" t="s">
        <v>1675</v>
      </c>
      <c r="C788" t="s">
        <v>1676</v>
      </c>
      <c r="D788" t="s">
        <v>504</v>
      </c>
      <c r="F788" s="1" t="s">
        <v>153</v>
      </c>
      <c r="G788" t="s">
        <v>1677</v>
      </c>
      <c r="H788" t="s">
        <v>155</v>
      </c>
      <c r="K788" t="s">
        <v>155</v>
      </c>
      <c r="N788" t="s">
        <v>155</v>
      </c>
      <c r="Q788" t="s">
        <v>155</v>
      </c>
      <c r="T788" t="s">
        <v>155</v>
      </c>
      <c r="W788">
        <v>38.4</v>
      </c>
      <c r="Z788" t="s">
        <v>155</v>
      </c>
      <c r="AC788" t="s">
        <v>155</v>
      </c>
      <c r="AF788" t="s">
        <v>155</v>
      </c>
      <c r="AI788" t="s">
        <v>155</v>
      </c>
      <c r="AL788" t="s">
        <v>155</v>
      </c>
      <c r="AO788" t="s">
        <v>155</v>
      </c>
      <c r="AT788">
        <v>22.5</v>
      </c>
      <c r="AU788" t="s">
        <v>155</v>
      </c>
      <c r="AX788" t="s">
        <v>155</v>
      </c>
      <c r="BA788" t="s">
        <v>155</v>
      </c>
      <c r="BE788" s="16">
        <f>(166*1.5)</f>
        <v>249</v>
      </c>
      <c r="BH788" s="16">
        <f>(0.31*1.83)</f>
        <v>0.56730000000000003</v>
      </c>
    </row>
    <row r="789" spans="1:61" x14ac:dyDescent="0.2">
      <c r="A789" t="s">
        <v>1674</v>
      </c>
      <c r="B789" t="s">
        <v>1675</v>
      </c>
      <c r="C789" t="s">
        <v>1676</v>
      </c>
      <c r="D789" t="s">
        <v>504</v>
      </c>
      <c r="F789" s="1" t="s">
        <v>153</v>
      </c>
      <c r="G789" t="s">
        <v>1678</v>
      </c>
      <c r="H789" t="s">
        <v>155</v>
      </c>
      <c r="K789" t="s">
        <v>155</v>
      </c>
      <c r="N789" t="s">
        <v>155</v>
      </c>
      <c r="Q789" t="s">
        <v>155</v>
      </c>
      <c r="T789" t="s">
        <v>155</v>
      </c>
      <c r="W789">
        <v>48.6</v>
      </c>
      <c r="Z789" t="s">
        <v>155</v>
      </c>
      <c r="AC789" t="s">
        <v>155</v>
      </c>
      <c r="AF789" t="s">
        <v>155</v>
      </c>
      <c r="AI789" t="s">
        <v>155</v>
      </c>
      <c r="AL789" t="s">
        <v>155</v>
      </c>
      <c r="AO789" t="s">
        <v>155</v>
      </c>
      <c r="AR789" t="s">
        <v>155</v>
      </c>
      <c r="AU789" t="s">
        <v>155</v>
      </c>
      <c r="AX789" t="s">
        <v>155</v>
      </c>
      <c r="BA789" t="s">
        <v>155</v>
      </c>
      <c r="BE789" s="16">
        <f>(211*1.5)</f>
        <v>316.5</v>
      </c>
      <c r="BH789" s="16">
        <f>(0.03*1.83)</f>
        <v>5.4899999999999997E-2</v>
      </c>
    </row>
    <row r="790" spans="1:61" x14ac:dyDescent="0.2">
      <c r="A790" t="s">
        <v>1674</v>
      </c>
      <c r="B790" t="s">
        <v>1675</v>
      </c>
      <c r="C790" t="s">
        <v>1676</v>
      </c>
      <c r="D790" t="s">
        <v>504</v>
      </c>
      <c r="F790" s="1" t="s">
        <v>153</v>
      </c>
      <c r="G790" t="s">
        <v>1679</v>
      </c>
      <c r="H790" t="s">
        <v>155</v>
      </c>
      <c r="K790" t="s">
        <v>155</v>
      </c>
      <c r="N790" t="s">
        <v>155</v>
      </c>
      <c r="Q790" t="s">
        <v>155</v>
      </c>
      <c r="T790" t="s">
        <v>155</v>
      </c>
      <c r="W790">
        <v>2.2999999999999998</v>
      </c>
      <c r="Z790" t="s">
        <v>155</v>
      </c>
      <c r="AC790" t="s">
        <v>155</v>
      </c>
      <c r="AF790" t="s">
        <v>155</v>
      </c>
      <c r="AI790" t="s">
        <v>155</v>
      </c>
      <c r="AL790" t="s">
        <v>155</v>
      </c>
      <c r="AO790" t="s">
        <v>155</v>
      </c>
      <c r="AT790">
        <v>2.5</v>
      </c>
      <c r="AU790" t="s">
        <v>155</v>
      </c>
      <c r="AX790" t="s">
        <v>155</v>
      </c>
      <c r="BA790" t="s">
        <v>155</v>
      </c>
      <c r="BE790" s="16">
        <f>(6.5*1.5)</f>
        <v>9.75</v>
      </c>
      <c r="BH790" s="16">
        <f>(0.05*1.83)</f>
        <v>9.1500000000000012E-2</v>
      </c>
    </row>
    <row r="791" spans="1:61" x14ac:dyDescent="0.2">
      <c r="A791" t="s">
        <v>1680</v>
      </c>
      <c r="B791" t="s">
        <v>1681</v>
      </c>
      <c r="C791" t="s">
        <v>1682</v>
      </c>
      <c r="D791" t="s">
        <v>457</v>
      </c>
      <c r="F791" s="1" t="s">
        <v>140</v>
      </c>
      <c r="G791" t="s">
        <v>1683</v>
      </c>
      <c r="H791" t="s">
        <v>155</v>
      </c>
      <c r="M791">
        <v>1.9</v>
      </c>
      <c r="N791" t="s">
        <v>155</v>
      </c>
      <c r="S791">
        <v>9.8000000000000007</v>
      </c>
      <c r="T791" t="s">
        <v>155</v>
      </c>
      <c r="Y791">
        <v>9.8000000000000007</v>
      </c>
      <c r="Z791" t="s">
        <v>155</v>
      </c>
      <c r="AC791">
        <v>9.8000000000000007</v>
      </c>
      <c r="AF791" t="s">
        <v>155</v>
      </c>
      <c r="AK791">
        <v>20</v>
      </c>
      <c r="AL791" t="s">
        <v>155</v>
      </c>
      <c r="AO791" t="s">
        <v>155</v>
      </c>
      <c r="AT791">
        <v>10</v>
      </c>
      <c r="AU791" t="s">
        <v>155</v>
      </c>
      <c r="AX791" t="s">
        <v>155</v>
      </c>
      <c r="BA791" t="s">
        <v>155</v>
      </c>
      <c r="BF791">
        <v>9.8000000000000007</v>
      </c>
      <c r="BI791">
        <v>0.09</v>
      </c>
    </row>
    <row r="792" spans="1:61" x14ac:dyDescent="0.2">
      <c r="A792" t="s">
        <v>1680</v>
      </c>
      <c r="B792" t="s">
        <v>1681</v>
      </c>
      <c r="C792" t="s">
        <v>1682</v>
      </c>
      <c r="D792" t="s">
        <v>457</v>
      </c>
      <c r="F792" s="1" t="s">
        <v>141</v>
      </c>
      <c r="G792" t="s">
        <v>1684</v>
      </c>
      <c r="H792" t="s">
        <v>155</v>
      </c>
      <c r="M792">
        <v>1.9</v>
      </c>
      <c r="N792" t="s">
        <v>155</v>
      </c>
      <c r="S792">
        <v>9.8000000000000007</v>
      </c>
      <c r="T792" t="s">
        <v>155</v>
      </c>
      <c r="Y792">
        <v>9.8000000000000007</v>
      </c>
      <c r="Z792" t="s">
        <v>155</v>
      </c>
      <c r="AC792">
        <v>9.8000000000000007</v>
      </c>
      <c r="AF792" t="s">
        <v>155</v>
      </c>
      <c r="AK792">
        <v>20</v>
      </c>
      <c r="AL792" t="s">
        <v>155</v>
      </c>
      <c r="AO792" t="s">
        <v>155</v>
      </c>
      <c r="AT792">
        <v>10</v>
      </c>
      <c r="AU792" t="s">
        <v>155</v>
      </c>
      <c r="AX792" t="s">
        <v>155</v>
      </c>
      <c r="BA792" t="s">
        <v>155</v>
      </c>
      <c r="BF792">
        <v>9.8000000000000007</v>
      </c>
      <c r="BI792">
        <v>0.1</v>
      </c>
    </row>
    <row r="793" spans="1:61" x14ac:dyDescent="0.2">
      <c r="A793" s="10" t="s">
        <v>1685</v>
      </c>
      <c r="B793" s="10" t="s">
        <v>1686</v>
      </c>
      <c r="C793" s="10" t="s">
        <v>1687</v>
      </c>
      <c r="D793" s="10" t="s">
        <v>338</v>
      </c>
      <c r="E793" s="11"/>
      <c r="F793" s="11" t="s">
        <v>141</v>
      </c>
      <c r="G793" s="10" t="s">
        <v>1688</v>
      </c>
      <c r="H793">
        <v>1400</v>
      </c>
      <c r="M793">
        <v>0.53</v>
      </c>
      <c r="O793" s="16">
        <v>7.2</v>
      </c>
      <c r="S793">
        <v>0.09</v>
      </c>
      <c r="T793">
        <v>190</v>
      </c>
      <c r="W793">
        <v>0.83</v>
      </c>
      <c r="Z793">
        <v>0.36</v>
      </c>
      <c r="AE793">
        <v>1.4</v>
      </c>
      <c r="AF793">
        <v>640</v>
      </c>
      <c r="AJ793" s="16">
        <v>3.4</v>
      </c>
      <c r="AM793" s="16">
        <v>54</v>
      </c>
      <c r="AO793">
        <v>9.1</v>
      </c>
      <c r="AR793">
        <v>0.48</v>
      </c>
      <c r="AW793">
        <v>18</v>
      </c>
      <c r="AZ793">
        <v>57</v>
      </c>
      <c r="BC793">
        <v>7.4</v>
      </c>
      <c r="BD793">
        <v>5.9</v>
      </c>
      <c r="BI793">
        <v>0.1</v>
      </c>
    </row>
    <row r="794" spans="1:61" x14ac:dyDescent="0.2">
      <c r="A794" s="10" t="s">
        <v>1685</v>
      </c>
      <c r="B794" s="10" t="s">
        <v>1686</v>
      </c>
      <c r="C794" s="10" t="s">
        <v>1687</v>
      </c>
      <c r="D794" s="10" t="s">
        <v>338</v>
      </c>
      <c r="E794" s="11"/>
      <c r="F794" s="11" t="s">
        <v>141</v>
      </c>
      <c r="G794" s="10" t="s">
        <v>1689</v>
      </c>
      <c r="H794">
        <v>990</v>
      </c>
      <c r="M794">
        <v>0.55000000000000004</v>
      </c>
      <c r="O794" s="16">
        <v>22</v>
      </c>
      <c r="S794">
        <v>0.09</v>
      </c>
      <c r="T794">
        <v>370</v>
      </c>
      <c r="W794">
        <v>1.2</v>
      </c>
      <c r="Z794">
        <v>0.28999999999999998</v>
      </c>
      <c r="AE794">
        <v>3.9</v>
      </c>
      <c r="AF794">
        <v>540</v>
      </c>
      <c r="AJ794" s="16">
        <v>24</v>
      </c>
      <c r="AN794">
        <v>55</v>
      </c>
      <c r="AO794">
        <v>38</v>
      </c>
      <c r="AT794">
        <v>0.62</v>
      </c>
      <c r="AW794">
        <v>21</v>
      </c>
      <c r="AZ794">
        <v>59</v>
      </c>
      <c r="BC794">
        <v>7.7</v>
      </c>
      <c r="BD794">
        <v>28</v>
      </c>
      <c r="BI794">
        <v>0.11</v>
      </c>
    </row>
    <row r="795" spans="1:61" x14ac:dyDescent="0.2">
      <c r="A795" t="s">
        <v>1685</v>
      </c>
      <c r="B795" t="s">
        <v>1686</v>
      </c>
      <c r="C795" t="s">
        <v>1687</v>
      </c>
      <c r="D795" t="s">
        <v>338</v>
      </c>
      <c r="F795" s="1" t="s">
        <v>141</v>
      </c>
      <c r="G795" t="s">
        <v>1690</v>
      </c>
      <c r="H795" t="s">
        <v>155</v>
      </c>
      <c r="M795">
        <v>4</v>
      </c>
      <c r="P795">
        <v>24</v>
      </c>
      <c r="S795">
        <v>4</v>
      </c>
      <c r="T795" t="s">
        <v>155</v>
      </c>
      <c r="Y795">
        <v>4</v>
      </c>
      <c r="Z795" t="s">
        <v>155</v>
      </c>
      <c r="AC795">
        <v>18</v>
      </c>
      <c r="AF795">
        <v>1686</v>
      </c>
      <c r="AI795">
        <v>18</v>
      </c>
      <c r="AL795" t="s">
        <v>155</v>
      </c>
      <c r="AO795" t="s">
        <v>155</v>
      </c>
      <c r="AR795">
        <v>18</v>
      </c>
      <c r="AU795" t="s">
        <v>155</v>
      </c>
      <c r="AX795" t="s">
        <v>155</v>
      </c>
      <c r="BA795" t="s">
        <v>155</v>
      </c>
      <c r="BD795">
        <v>62</v>
      </c>
      <c r="BI795">
        <v>0.1</v>
      </c>
    </row>
    <row r="796" spans="1:61" x14ac:dyDescent="0.2">
      <c r="A796" t="s">
        <v>1685</v>
      </c>
      <c r="B796" t="s">
        <v>1686</v>
      </c>
      <c r="C796" t="s">
        <v>1687</v>
      </c>
      <c r="D796" t="s">
        <v>338</v>
      </c>
      <c r="F796" s="1" t="s">
        <v>141</v>
      </c>
      <c r="G796" t="s">
        <v>1691</v>
      </c>
      <c r="H796" t="s">
        <v>155</v>
      </c>
      <c r="M796">
        <v>4</v>
      </c>
      <c r="P796">
        <v>16</v>
      </c>
      <c r="S796">
        <v>4</v>
      </c>
      <c r="T796" t="s">
        <v>155</v>
      </c>
      <c r="Y796">
        <v>4</v>
      </c>
      <c r="Z796" t="s">
        <v>155</v>
      </c>
      <c r="AC796">
        <v>14</v>
      </c>
      <c r="AF796">
        <v>1346</v>
      </c>
      <c r="AI796">
        <v>16</v>
      </c>
      <c r="AL796" t="s">
        <v>155</v>
      </c>
      <c r="AO796" t="s">
        <v>155</v>
      </c>
      <c r="AR796">
        <v>16</v>
      </c>
      <c r="AU796" t="s">
        <v>155</v>
      </c>
      <c r="AX796" t="s">
        <v>155</v>
      </c>
      <c r="BA796" t="s">
        <v>155</v>
      </c>
      <c r="BD796">
        <v>193</v>
      </c>
      <c r="BI796">
        <v>0.1</v>
      </c>
    </row>
    <row r="797" spans="1:61" ht="16" x14ac:dyDescent="0.2">
      <c r="A797" s="15" t="s">
        <v>1692</v>
      </c>
      <c r="B797" t="s">
        <v>1693</v>
      </c>
      <c r="C797" t="s">
        <v>1694</v>
      </c>
      <c r="D797" t="s">
        <v>956</v>
      </c>
      <c r="E797" s="1" t="s">
        <v>168</v>
      </c>
      <c r="F797" s="1" t="s">
        <v>141</v>
      </c>
      <c r="G797" t="s">
        <v>509</v>
      </c>
      <c r="H797" t="s">
        <v>155</v>
      </c>
      <c r="K797">
        <v>1.1499999999999999</v>
      </c>
      <c r="N797" t="s">
        <v>155</v>
      </c>
      <c r="S797">
        <v>0.54400000000000004</v>
      </c>
      <c r="T797" t="s">
        <v>155</v>
      </c>
      <c r="W797">
        <v>4.5999999999999996</v>
      </c>
      <c r="Z797" t="s">
        <v>155</v>
      </c>
      <c r="AC797">
        <v>12.2</v>
      </c>
      <c r="AF797" t="s">
        <v>155</v>
      </c>
      <c r="AI797">
        <v>6.3</v>
      </c>
      <c r="AL797" t="s">
        <v>155</v>
      </c>
      <c r="AO797" t="s">
        <v>155</v>
      </c>
      <c r="AR797">
        <v>5.71</v>
      </c>
      <c r="AU797" t="s">
        <v>155</v>
      </c>
      <c r="AX797" t="s">
        <v>155</v>
      </c>
      <c r="BA797" t="s">
        <v>155</v>
      </c>
      <c r="BD797">
        <v>81.2</v>
      </c>
      <c r="BI797">
        <v>0.109</v>
      </c>
    </row>
    <row r="798" spans="1:61" x14ac:dyDescent="0.2">
      <c r="A798" t="s">
        <v>1695</v>
      </c>
      <c r="B798" t="s">
        <v>1696</v>
      </c>
      <c r="C798" t="s">
        <v>158</v>
      </c>
      <c r="D798" t="s">
        <v>159</v>
      </c>
      <c r="E798" s="1" t="s">
        <v>8</v>
      </c>
      <c r="F798" s="1" t="s">
        <v>140</v>
      </c>
      <c r="G798" t="s">
        <v>1697</v>
      </c>
      <c r="H798" t="s">
        <v>155</v>
      </c>
      <c r="K798">
        <v>48</v>
      </c>
      <c r="N798">
        <v>20</v>
      </c>
      <c r="Q798">
        <v>2.1</v>
      </c>
      <c r="T798" t="s">
        <v>155</v>
      </c>
      <c r="W798">
        <v>16</v>
      </c>
      <c r="Z798" t="s">
        <v>155</v>
      </c>
      <c r="AC798">
        <v>12</v>
      </c>
      <c r="AF798" t="s">
        <v>155</v>
      </c>
      <c r="AI798">
        <v>12</v>
      </c>
      <c r="AL798" t="s">
        <v>155</v>
      </c>
      <c r="AO798" t="s">
        <v>155</v>
      </c>
      <c r="AR798">
        <v>4.0999999999999996</v>
      </c>
      <c r="AU798" t="s">
        <v>155</v>
      </c>
      <c r="AX798" t="s">
        <v>155</v>
      </c>
      <c r="BA798" t="s">
        <v>155</v>
      </c>
      <c r="BD798">
        <v>11</v>
      </c>
      <c r="BI798">
        <v>0.02</v>
      </c>
    </row>
    <row r="799" spans="1:61" x14ac:dyDescent="0.2">
      <c r="A799" t="s">
        <v>1695</v>
      </c>
      <c r="B799" t="s">
        <v>1696</v>
      </c>
      <c r="C799" t="s">
        <v>158</v>
      </c>
      <c r="D799" t="s">
        <v>159</v>
      </c>
      <c r="E799" s="1" t="s">
        <v>8</v>
      </c>
      <c r="F799" s="1" t="s">
        <v>140</v>
      </c>
      <c r="G799" t="s">
        <v>1698</v>
      </c>
      <c r="H799" t="s">
        <v>155</v>
      </c>
      <c r="K799">
        <v>74</v>
      </c>
      <c r="N799">
        <v>26</v>
      </c>
      <c r="Q799">
        <v>2.9</v>
      </c>
      <c r="T799" t="s">
        <v>155</v>
      </c>
      <c r="W799">
        <v>34</v>
      </c>
      <c r="Z799" t="s">
        <v>155</v>
      </c>
      <c r="AC799">
        <v>15</v>
      </c>
      <c r="AF799" t="s">
        <v>155</v>
      </c>
      <c r="AI799">
        <v>16</v>
      </c>
      <c r="AL799" t="s">
        <v>155</v>
      </c>
      <c r="AO799" t="s">
        <v>155</v>
      </c>
      <c r="AR799">
        <v>7.2</v>
      </c>
      <c r="AU799" t="s">
        <v>155</v>
      </c>
      <c r="AX799" t="s">
        <v>155</v>
      </c>
      <c r="BA799" t="s">
        <v>155</v>
      </c>
      <c r="BD799">
        <v>18</v>
      </c>
      <c r="BI799">
        <v>0.02</v>
      </c>
    </row>
    <row r="800" spans="1:61" x14ac:dyDescent="0.2">
      <c r="A800" t="s">
        <v>1695</v>
      </c>
      <c r="B800" t="s">
        <v>1696</v>
      </c>
      <c r="C800" t="s">
        <v>158</v>
      </c>
      <c r="D800" t="s">
        <v>159</v>
      </c>
      <c r="E800" s="1" t="s">
        <v>8</v>
      </c>
      <c r="F800" s="1" t="s">
        <v>140</v>
      </c>
      <c r="G800" t="s">
        <v>1699</v>
      </c>
      <c r="H800" t="s">
        <v>155</v>
      </c>
      <c r="K800">
        <v>49</v>
      </c>
      <c r="N800">
        <v>35</v>
      </c>
      <c r="Q800">
        <v>1.5</v>
      </c>
      <c r="T800" t="s">
        <v>155</v>
      </c>
      <c r="W800">
        <v>25</v>
      </c>
      <c r="Z800" t="s">
        <v>155</v>
      </c>
      <c r="AC800">
        <v>13</v>
      </c>
      <c r="AF800" t="s">
        <v>155</v>
      </c>
      <c r="AI800">
        <v>11</v>
      </c>
      <c r="AL800" t="s">
        <v>155</v>
      </c>
      <c r="AO800" t="s">
        <v>155</v>
      </c>
      <c r="AR800">
        <v>5.8</v>
      </c>
      <c r="AU800" t="s">
        <v>155</v>
      </c>
      <c r="AX800" t="s">
        <v>155</v>
      </c>
      <c r="BA800" t="s">
        <v>155</v>
      </c>
      <c r="BD800">
        <v>15</v>
      </c>
      <c r="BI800">
        <v>0.02</v>
      </c>
    </row>
    <row r="801" spans="1:61" x14ac:dyDescent="0.2">
      <c r="A801" t="s">
        <v>1695</v>
      </c>
      <c r="B801" t="s">
        <v>1696</v>
      </c>
      <c r="C801" t="s">
        <v>158</v>
      </c>
      <c r="D801" t="s">
        <v>159</v>
      </c>
      <c r="E801" s="1" t="s">
        <v>8</v>
      </c>
      <c r="F801" s="1" t="s">
        <v>140</v>
      </c>
      <c r="G801" t="s">
        <v>1700</v>
      </c>
      <c r="H801" t="s">
        <v>155</v>
      </c>
      <c r="K801">
        <v>45</v>
      </c>
      <c r="N801">
        <v>14</v>
      </c>
      <c r="Q801">
        <v>1.6</v>
      </c>
      <c r="T801" t="s">
        <v>155</v>
      </c>
      <c r="W801">
        <v>13</v>
      </c>
      <c r="Z801" t="s">
        <v>155</v>
      </c>
      <c r="AC801">
        <v>9.3000000000000007</v>
      </c>
      <c r="AF801" t="s">
        <v>155</v>
      </c>
      <c r="AI801">
        <v>9.5</v>
      </c>
      <c r="AL801" t="s">
        <v>155</v>
      </c>
      <c r="AO801" t="s">
        <v>155</v>
      </c>
      <c r="AR801">
        <v>3.2</v>
      </c>
      <c r="AU801" t="s">
        <v>155</v>
      </c>
      <c r="AX801" t="s">
        <v>155</v>
      </c>
      <c r="BA801" t="s">
        <v>155</v>
      </c>
      <c r="BD801">
        <v>14</v>
      </c>
      <c r="BI801">
        <v>0.02</v>
      </c>
    </row>
    <row r="802" spans="1:61" x14ac:dyDescent="0.2">
      <c r="A802" t="s">
        <v>1695</v>
      </c>
      <c r="B802" t="s">
        <v>1696</v>
      </c>
      <c r="C802" t="s">
        <v>158</v>
      </c>
      <c r="D802" t="s">
        <v>159</v>
      </c>
      <c r="E802" s="1" t="s">
        <v>8</v>
      </c>
      <c r="F802" s="1" t="s">
        <v>140</v>
      </c>
      <c r="G802" t="s">
        <v>1701</v>
      </c>
      <c r="H802" t="s">
        <v>155</v>
      </c>
      <c r="K802">
        <v>63</v>
      </c>
      <c r="N802">
        <v>27</v>
      </c>
      <c r="Q802">
        <v>3.2</v>
      </c>
      <c r="T802" t="s">
        <v>155</v>
      </c>
      <c r="W802">
        <v>62</v>
      </c>
      <c r="Z802" t="s">
        <v>155</v>
      </c>
      <c r="AC802">
        <v>13</v>
      </c>
      <c r="AF802" t="s">
        <v>155</v>
      </c>
      <c r="AI802">
        <v>18</v>
      </c>
      <c r="AL802" t="s">
        <v>155</v>
      </c>
      <c r="AO802" t="s">
        <v>155</v>
      </c>
      <c r="AR802">
        <v>12</v>
      </c>
      <c r="AU802" t="s">
        <v>155</v>
      </c>
      <c r="AX802" t="s">
        <v>155</v>
      </c>
      <c r="BA802" t="s">
        <v>155</v>
      </c>
      <c r="BD802">
        <v>14</v>
      </c>
      <c r="BI802">
        <v>0.02</v>
      </c>
    </row>
    <row r="803" spans="1:61" x14ac:dyDescent="0.2">
      <c r="A803" t="s">
        <v>1702</v>
      </c>
      <c r="B803" t="s">
        <v>1703</v>
      </c>
      <c r="C803" t="s">
        <v>1704</v>
      </c>
      <c r="D803" t="s">
        <v>491</v>
      </c>
      <c r="F803" s="1" t="s">
        <v>140</v>
      </c>
      <c r="G803" t="s">
        <v>1705</v>
      </c>
      <c r="H803">
        <v>27700</v>
      </c>
      <c r="K803" t="s">
        <v>155</v>
      </c>
      <c r="N803" t="s">
        <v>155</v>
      </c>
      <c r="Q803">
        <v>9.8000000000000007</v>
      </c>
      <c r="T803" t="s">
        <v>155</v>
      </c>
      <c r="W803">
        <v>229</v>
      </c>
      <c r="AB803">
        <v>3.8</v>
      </c>
      <c r="AC803">
        <v>27.8</v>
      </c>
      <c r="AF803">
        <v>70700</v>
      </c>
      <c r="AI803">
        <v>7.1</v>
      </c>
      <c r="AL803" t="s">
        <v>155</v>
      </c>
      <c r="AO803">
        <v>69.2</v>
      </c>
      <c r="AR803">
        <v>11.9</v>
      </c>
      <c r="AW803">
        <v>225</v>
      </c>
      <c r="AX803" t="s">
        <v>155</v>
      </c>
      <c r="BA803">
        <v>158</v>
      </c>
      <c r="BD803">
        <v>15.3</v>
      </c>
      <c r="BI803">
        <v>0.1</v>
      </c>
    </row>
    <row r="804" spans="1:61" x14ac:dyDescent="0.2">
      <c r="A804" t="s">
        <v>1702</v>
      </c>
      <c r="B804" t="s">
        <v>1703</v>
      </c>
      <c r="C804" t="s">
        <v>1704</v>
      </c>
      <c r="D804" t="s">
        <v>491</v>
      </c>
      <c r="F804" s="1" t="s">
        <v>141</v>
      </c>
      <c r="G804" t="s">
        <v>1706</v>
      </c>
      <c r="H804">
        <v>9910</v>
      </c>
      <c r="M804">
        <v>0.33</v>
      </c>
      <c r="N804" t="s">
        <v>155</v>
      </c>
      <c r="Q804">
        <v>5.8</v>
      </c>
      <c r="T804" t="s">
        <v>155</v>
      </c>
      <c r="W804">
        <v>148</v>
      </c>
      <c r="Z804">
        <v>140</v>
      </c>
      <c r="AC804">
        <v>36.299999999999997</v>
      </c>
      <c r="AF804">
        <v>44200</v>
      </c>
      <c r="AI804">
        <v>3.6</v>
      </c>
      <c r="AL804" t="s">
        <v>155</v>
      </c>
      <c r="AO804">
        <v>2800</v>
      </c>
      <c r="AR804">
        <v>54.1</v>
      </c>
      <c r="AW804">
        <v>310</v>
      </c>
      <c r="AX804" t="s">
        <v>155</v>
      </c>
      <c r="BA804">
        <v>115</v>
      </c>
      <c r="BD804">
        <v>15.6</v>
      </c>
      <c r="BI804">
        <v>0.15</v>
      </c>
    </row>
    <row r="805" spans="1:61" x14ac:dyDescent="0.2">
      <c r="A805" t="s">
        <v>197</v>
      </c>
      <c r="B805" t="s">
        <v>1707</v>
      </c>
      <c r="C805" t="s">
        <v>158</v>
      </c>
      <c r="D805" t="s">
        <v>159</v>
      </c>
      <c r="F805" s="1" t="s">
        <v>153</v>
      </c>
      <c r="G805" t="s">
        <v>1708</v>
      </c>
      <c r="H805">
        <v>1600</v>
      </c>
      <c r="M805">
        <v>0.8</v>
      </c>
      <c r="N805">
        <v>27</v>
      </c>
      <c r="S805">
        <v>0.25</v>
      </c>
      <c r="T805">
        <v>770</v>
      </c>
      <c r="W805">
        <v>8.1</v>
      </c>
      <c r="Z805">
        <v>4.3</v>
      </c>
      <c r="AC805">
        <v>6.6</v>
      </c>
      <c r="AF805">
        <v>5200</v>
      </c>
      <c r="AI805">
        <v>10</v>
      </c>
      <c r="AM805" s="16">
        <v>430</v>
      </c>
      <c r="AO805">
        <v>200</v>
      </c>
      <c r="AR805">
        <v>2.2999999999999998</v>
      </c>
      <c r="AU805">
        <v>110</v>
      </c>
      <c r="AX805">
        <v>130</v>
      </c>
      <c r="BA805">
        <v>12</v>
      </c>
      <c r="BD805">
        <v>38</v>
      </c>
      <c r="BI805">
        <v>0.05</v>
      </c>
    </row>
    <row r="806" spans="1:61" x14ac:dyDescent="0.2">
      <c r="A806" t="s">
        <v>197</v>
      </c>
      <c r="B806" t="s">
        <v>1707</v>
      </c>
      <c r="C806" t="s">
        <v>158</v>
      </c>
      <c r="D806" t="s">
        <v>159</v>
      </c>
      <c r="F806" s="1" t="s">
        <v>153</v>
      </c>
      <c r="G806" t="s">
        <v>1709</v>
      </c>
      <c r="H806">
        <v>6000</v>
      </c>
      <c r="M806">
        <v>0.49</v>
      </c>
      <c r="N806">
        <v>84</v>
      </c>
      <c r="S806">
        <v>0.25</v>
      </c>
      <c r="T806">
        <v>1800</v>
      </c>
      <c r="W806">
        <v>4.3</v>
      </c>
      <c r="Z806">
        <v>5.2</v>
      </c>
      <c r="AC806">
        <v>17</v>
      </c>
      <c r="AF806">
        <v>10000</v>
      </c>
      <c r="AI806">
        <v>1.8</v>
      </c>
      <c r="AL806">
        <v>3700</v>
      </c>
      <c r="AO806">
        <v>150</v>
      </c>
      <c r="AR806">
        <v>4.2</v>
      </c>
      <c r="AU806">
        <v>2000</v>
      </c>
      <c r="AX806">
        <v>120</v>
      </c>
      <c r="BA806">
        <v>22</v>
      </c>
      <c r="BD806">
        <v>30</v>
      </c>
      <c r="BI806">
        <v>0.05</v>
      </c>
    </row>
    <row r="807" spans="1:61" x14ac:dyDescent="0.2">
      <c r="A807" t="s">
        <v>1710</v>
      </c>
      <c r="B807" t="s">
        <v>790</v>
      </c>
      <c r="C807" t="s">
        <v>411</v>
      </c>
      <c r="D807" t="s">
        <v>280</v>
      </c>
      <c r="F807" s="1" t="s">
        <v>140</v>
      </c>
      <c r="G807" t="s">
        <v>744</v>
      </c>
      <c r="H807">
        <v>5110</v>
      </c>
      <c r="K807" t="s">
        <v>155</v>
      </c>
      <c r="N807" t="s">
        <v>155</v>
      </c>
      <c r="Q807">
        <v>1.5</v>
      </c>
      <c r="T807" t="s">
        <v>155</v>
      </c>
      <c r="W807">
        <v>7.7</v>
      </c>
      <c r="Z807" t="s">
        <v>155</v>
      </c>
      <c r="AC807" t="s">
        <v>155</v>
      </c>
      <c r="AF807">
        <v>8790</v>
      </c>
      <c r="AI807">
        <v>4.7</v>
      </c>
      <c r="AL807" t="s">
        <v>155</v>
      </c>
      <c r="AO807">
        <v>4.5999999999999996</v>
      </c>
      <c r="AR807" t="s">
        <v>155</v>
      </c>
      <c r="AU807" t="s">
        <v>155</v>
      </c>
      <c r="AX807" t="s">
        <v>155</v>
      </c>
      <c r="BA807" t="s">
        <v>155</v>
      </c>
      <c r="BD807" t="s">
        <v>155</v>
      </c>
      <c r="BG807" t="s">
        <v>155</v>
      </c>
    </row>
    <row r="808" spans="1:61" ht="16" x14ac:dyDescent="0.2">
      <c r="A808" s="15" t="s">
        <v>1711</v>
      </c>
      <c r="B808" t="s">
        <v>1712</v>
      </c>
      <c r="C808" t="s">
        <v>190</v>
      </c>
      <c r="D808" t="s">
        <v>191</v>
      </c>
      <c r="F808" s="1" t="s">
        <v>140</v>
      </c>
      <c r="G808" t="s">
        <v>231</v>
      </c>
      <c r="H808">
        <v>24000</v>
      </c>
      <c r="L808" s="16">
        <f>(4.9*1.74)</f>
        <v>8.5259999999999998</v>
      </c>
      <c r="O808" s="16">
        <f>(55*3.99)</f>
        <v>219.45000000000002</v>
      </c>
      <c r="Q808" t="s">
        <v>155</v>
      </c>
      <c r="T808">
        <v>65</v>
      </c>
      <c r="W808" t="s">
        <v>155</v>
      </c>
      <c r="Z808" t="s">
        <v>155</v>
      </c>
      <c r="AD808" s="16">
        <f>(27*1.22)</f>
        <v>32.94</v>
      </c>
      <c r="AF808">
        <v>38000</v>
      </c>
      <c r="AJ808" s="16">
        <f>(13*1.44)</f>
        <v>18.72</v>
      </c>
      <c r="AL808">
        <v>8500</v>
      </c>
      <c r="AO808" t="s">
        <v>155</v>
      </c>
      <c r="AR808">
        <v>34</v>
      </c>
      <c r="AW808">
        <v>310</v>
      </c>
      <c r="AZ808">
        <v>70</v>
      </c>
      <c r="BA808">
        <v>48</v>
      </c>
      <c r="BE808" s="16">
        <f>(83*1.5)</f>
        <v>124.5</v>
      </c>
      <c r="BI808">
        <v>0.28000000000000003</v>
      </c>
    </row>
    <row r="809" spans="1:61" ht="16" x14ac:dyDescent="0.2">
      <c r="A809" s="15" t="s">
        <v>1711</v>
      </c>
      <c r="B809" t="s">
        <v>1712</v>
      </c>
      <c r="C809" t="s">
        <v>190</v>
      </c>
      <c r="D809" t="s">
        <v>191</v>
      </c>
      <c r="F809" s="1" t="s">
        <v>153</v>
      </c>
      <c r="G809" t="s">
        <v>187</v>
      </c>
      <c r="H809" t="s">
        <v>155</v>
      </c>
      <c r="K809">
        <v>3.7</v>
      </c>
      <c r="N809" t="s">
        <v>155</v>
      </c>
      <c r="S809">
        <v>15</v>
      </c>
      <c r="T809" t="s">
        <v>155</v>
      </c>
      <c r="W809">
        <v>18</v>
      </c>
      <c r="Z809" t="s">
        <v>155</v>
      </c>
      <c r="AC809" t="s">
        <v>155</v>
      </c>
      <c r="AF809" t="s">
        <v>155</v>
      </c>
      <c r="AI809">
        <v>56</v>
      </c>
      <c r="AL809" t="s">
        <v>155</v>
      </c>
      <c r="AO809" t="s">
        <v>155</v>
      </c>
      <c r="AR809" t="s">
        <v>155</v>
      </c>
      <c r="AU809" t="s">
        <v>155</v>
      </c>
      <c r="AX809" t="s">
        <v>155</v>
      </c>
      <c r="BA809" t="s">
        <v>155</v>
      </c>
      <c r="BD809" t="s">
        <v>155</v>
      </c>
      <c r="BG809">
        <v>0.34</v>
      </c>
    </row>
    <row r="810" spans="1:61" x14ac:dyDescent="0.2">
      <c r="A810" t="s">
        <v>1713</v>
      </c>
      <c r="B810" t="s">
        <v>1714</v>
      </c>
      <c r="C810" t="s">
        <v>1715</v>
      </c>
      <c r="D810" t="s">
        <v>338</v>
      </c>
      <c r="F810" s="1" t="s">
        <v>140</v>
      </c>
      <c r="G810" t="s">
        <v>1716</v>
      </c>
      <c r="H810" t="s">
        <v>155</v>
      </c>
      <c r="K810" t="s">
        <v>155</v>
      </c>
      <c r="N810" t="s">
        <v>155</v>
      </c>
      <c r="Q810">
        <v>0.96</v>
      </c>
      <c r="T810" t="s">
        <v>155</v>
      </c>
      <c r="W810">
        <v>22.8</v>
      </c>
      <c r="Z810" t="s">
        <v>155</v>
      </c>
      <c r="AC810" t="s">
        <v>155</v>
      </c>
      <c r="AF810" t="s">
        <v>155</v>
      </c>
      <c r="AI810" t="s">
        <v>155</v>
      </c>
      <c r="AL810" t="s">
        <v>155</v>
      </c>
      <c r="AO810" t="s">
        <v>155</v>
      </c>
      <c r="AR810" t="s">
        <v>155</v>
      </c>
      <c r="AU810" t="s">
        <v>155</v>
      </c>
      <c r="AX810" t="s">
        <v>155</v>
      </c>
      <c r="BA810" t="s">
        <v>155</v>
      </c>
      <c r="BD810" t="s">
        <v>155</v>
      </c>
      <c r="BG810">
        <v>0.11</v>
      </c>
    </row>
    <row r="811" spans="1:61" x14ac:dyDescent="0.2">
      <c r="A811" t="s">
        <v>1713</v>
      </c>
      <c r="B811" t="s">
        <v>1714</v>
      </c>
      <c r="C811" t="s">
        <v>1715</v>
      </c>
      <c r="D811" t="s">
        <v>338</v>
      </c>
      <c r="F811" s="1" t="s">
        <v>141</v>
      </c>
      <c r="G811" t="s">
        <v>1717</v>
      </c>
      <c r="H811" t="s">
        <v>155</v>
      </c>
      <c r="K811">
        <v>1.3</v>
      </c>
      <c r="N811">
        <v>60.8</v>
      </c>
      <c r="Q811">
        <v>0.96</v>
      </c>
      <c r="T811" t="s">
        <v>155</v>
      </c>
      <c r="W811">
        <v>11.9</v>
      </c>
      <c r="Z811" t="s">
        <v>155</v>
      </c>
      <c r="AC811" t="s">
        <v>155</v>
      </c>
      <c r="AF811" t="s">
        <v>155</v>
      </c>
      <c r="AI811">
        <v>8.48</v>
      </c>
      <c r="AL811" t="s">
        <v>155</v>
      </c>
      <c r="AO811" t="s">
        <v>155</v>
      </c>
      <c r="AR811" t="s">
        <v>155</v>
      </c>
      <c r="AU811" t="s">
        <v>155</v>
      </c>
      <c r="AX811" t="s">
        <v>155</v>
      </c>
      <c r="BA811" t="s">
        <v>155</v>
      </c>
      <c r="BD811">
        <v>12.5</v>
      </c>
      <c r="BG811">
        <v>0.11</v>
      </c>
    </row>
    <row r="812" spans="1:61" x14ac:dyDescent="0.2">
      <c r="A812" t="s">
        <v>1718</v>
      </c>
      <c r="B812" t="s">
        <v>1719</v>
      </c>
      <c r="C812" t="s">
        <v>1720</v>
      </c>
      <c r="D812" t="s">
        <v>353</v>
      </c>
      <c r="F812" s="1" t="s">
        <v>153</v>
      </c>
      <c r="G812" t="s">
        <v>1721</v>
      </c>
      <c r="H812" t="s">
        <v>155</v>
      </c>
      <c r="M812">
        <v>0.01</v>
      </c>
      <c r="N812">
        <v>0.04</v>
      </c>
      <c r="S812">
        <v>2E-3</v>
      </c>
      <c r="T812" t="s">
        <v>155</v>
      </c>
      <c r="Y812">
        <v>0.01</v>
      </c>
      <c r="Z812" t="s">
        <v>155</v>
      </c>
      <c r="AC812" t="s">
        <v>155</v>
      </c>
      <c r="AF812" t="s">
        <v>155</v>
      </c>
      <c r="AK812">
        <v>5.0000000000000001E-3</v>
      </c>
      <c r="AL812" t="s">
        <v>155</v>
      </c>
      <c r="AO812" t="s">
        <v>155</v>
      </c>
      <c r="AR812" t="s">
        <v>155</v>
      </c>
      <c r="AU812" t="s">
        <v>155</v>
      </c>
      <c r="AX812" t="s">
        <v>155</v>
      </c>
      <c r="BA812" t="s">
        <v>155</v>
      </c>
      <c r="BD812" t="s">
        <v>155</v>
      </c>
      <c r="BI812">
        <v>5.0000000000000001E-4</v>
      </c>
    </row>
    <row r="813" spans="1:61" x14ac:dyDescent="0.2">
      <c r="A813" t="s">
        <v>1722</v>
      </c>
      <c r="B813" t="s">
        <v>1723</v>
      </c>
      <c r="C813" t="s">
        <v>604</v>
      </c>
      <c r="D813" t="s">
        <v>216</v>
      </c>
      <c r="F813" s="1" t="s">
        <v>141</v>
      </c>
      <c r="G813" t="s">
        <v>1724</v>
      </c>
      <c r="H813" t="s">
        <v>155</v>
      </c>
      <c r="K813">
        <v>1.6</v>
      </c>
      <c r="N813" t="s">
        <v>155</v>
      </c>
      <c r="S813">
        <v>0.3</v>
      </c>
      <c r="T813" t="s">
        <v>155</v>
      </c>
      <c r="W813">
        <v>22</v>
      </c>
      <c r="Z813" t="s">
        <v>155</v>
      </c>
      <c r="AC813">
        <v>18</v>
      </c>
      <c r="AF813" t="s">
        <v>155</v>
      </c>
      <c r="AI813">
        <v>6</v>
      </c>
      <c r="AL813" t="s">
        <v>155</v>
      </c>
      <c r="AO813" t="s">
        <v>155</v>
      </c>
      <c r="AR813">
        <v>6</v>
      </c>
      <c r="AU813" t="s">
        <v>155</v>
      </c>
      <c r="AX813" t="s">
        <v>155</v>
      </c>
      <c r="BA813" t="s">
        <v>155</v>
      </c>
      <c r="BD813">
        <v>38</v>
      </c>
      <c r="BG813" t="s">
        <v>155</v>
      </c>
    </row>
    <row r="814" spans="1:61" x14ac:dyDescent="0.2">
      <c r="A814" t="s">
        <v>1725</v>
      </c>
      <c r="B814" t="s">
        <v>1726</v>
      </c>
      <c r="C814" t="s">
        <v>180</v>
      </c>
      <c r="D814" t="s">
        <v>135</v>
      </c>
      <c r="F814" s="1" t="s">
        <v>140</v>
      </c>
      <c r="G814" t="s">
        <v>1727</v>
      </c>
      <c r="H814">
        <v>17300</v>
      </c>
      <c r="M814">
        <v>0.35</v>
      </c>
      <c r="N814">
        <v>182</v>
      </c>
      <c r="Q814">
        <v>3.1</v>
      </c>
      <c r="T814">
        <v>3980</v>
      </c>
      <c r="W814">
        <v>8.8000000000000007</v>
      </c>
      <c r="Z814">
        <v>8.6</v>
      </c>
      <c r="AC814">
        <v>25.4</v>
      </c>
      <c r="AF814">
        <v>29700</v>
      </c>
      <c r="AI814">
        <v>3.7</v>
      </c>
      <c r="AL814">
        <v>5260</v>
      </c>
      <c r="AO814">
        <v>257</v>
      </c>
      <c r="AR814">
        <v>8.6</v>
      </c>
      <c r="AU814">
        <v>4970</v>
      </c>
      <c r="AX814" t="s">
        <v>155</v>
      </c>
      <c r="BA814">
        <v>78.900000000000006</v>
      </c>
      <c r="BD814">
        <v>56.3</v>
      </c>
      <c r="BG814">
        <v>2.4E-2</v>
      </c>
    </row>
    <row r="815" spans="1:61" x14ac:dyDescent="0.2">
      <c r="A815" t="s">
        <v>1725</v>
      </c>
      <c r="B815" t="s">
        <v>1726</v>
      </c>
      <c r="C815" t="s">
        <v>180</v>
      </c>
      <c r="D815" t="s">
        <v>135</v>
      </c>
      <c r="F815" s="1" t="s">
        <v>141</v>
      </c>
      <c r="G815" t="s">
        <v>1728</v>
      </c>
      <c r="H815">
        <v>6340</v>
      </c>
      <c r="K815" t="s">
        <v>155</v>
      </c>
      <c r="N815">
        <v>38.4</v>
      </c>
      <c r="Q815">
        <v>0.37</v>
      </c>
      <c r="T815">
        <v>1970</v>
      </c>
      <c r="W815">
        <v>8.4</v>
      </c>
      <c r="Z815">
        <v>2.1</v>
      </c>
      <c r="AC815">
        <v>7.6</v>
      </c>
      <c r="AF815">
        <v>13000</v>
      </c>
      <c r="AI815">
        <v>3.7</v>
      </c>
      <c r="AL815">
        <v>1910</v>
      </c>
      <c r="AO815">
        <v>8.6999999999999993</v>
      </c>
      <c r="AR815">
        <v>3.4</v>
      </c>
      <c r="AU815" t="s">
        <v>155</v>
      </c>
      <c r="AX815" t="s">
        <v>155</v>
      </c>
      <c r="BA815">
        <v>37</v>
      </c>
      <c r="BD815">
        <v>6.8</v>
      </c>
      <c r="BG815" t="s">
        <v>155</v>
      </c>
    </row>
    <row r="816" spans="1:61" x14ac:dyDescent="0.2">
      <c r="A816" t="s">
        <v>1725</v>
      </c>
      <c r="B816" t="s">
        <v>1726</v>
      </c>
      <c r="C816" t="s">
        <v>180</v>
      </c>
      <c r="D816" t="s">
        <v>135</v>
      </c>
      <c r="F816" s="1" t="s">
        <v>141</v>
      </c>
      <c r="G816" t="s">
        <v>1729</v>
      </c>
      <c r="H816">
        <v>3670</v>
      </c>
      <c r="K816">
        <v>1.5</v>
      </c>
      <c r="N816">
        <v>24.8</v>
      </c>
      <c r="S816">
        <v>7.8E-2</v>
      </c>
      <c r="T816">
        <v>578</v>
      </c>
      <c r="W816">
        <v>4.3</v>
      </c>
      <c r="Z816">
        <v>2.8</v>
      </c>
      <c r="AC816">
        <v>5.5</v>
      </c>
      <c r="AF816">
        <v>6750</v>
      </c>
      <c r="AI816">
        <v>6</v>
      </c>
      <c r="AL816">
        <v>837</v>
      </c>
      <c r="AO816">
        <v>16.8</v>
      </c>
      <c r="AR816">
        <v>3.6</v>
      </c>
      <c r="AU816" t="s">
        <v>155</v>
      </c>
      <c r="AX816" t="s">
        <v>155</v>
      </c>
      <c r="BA816">
        <v>29</v>
      </c>
      <c r="BD816">
        <v>6.7</v>
      </c>
      <c r="BG816" t="s">
        <v>155</v>
      </c>
    </row>
    <row r="817" spans="1:61" x14ac:dyDescent="0.2">
      <c r="A817" t="s">
        <v>1725</v>
      </c>
      <c r="B817" t="s">
        <v>1726</v>
      </c>
      <c r="C817" t="s">
        <v>180</v>
      </c>
      <c r="D817" t="s">
        <v>135</v>
      </c>
      <c r="F817" s="1" t="s">
        <v>140</v>
      </c>
      <c r="G817" t="s">
        <v>1730</v>
      </c>
      <c r="H817">
        <v>13200</v>
      </c>
      <c r="K817" t="s">
        <v>155</v>
      </c>
      <c r="N817">
        <v>144</v>
      </c>
      <c r="Q817">
        <v>2.9</v>
      </c>
      <c r="T817">
        <v>3270</v>
      </c>
      <c r="W817">
        <v>19.8</v>
      </c>
      <c r="Z817">
        <v>11.3</v>
      </c>
      <c r="AC817">
        <v>19</v>
      </c>
      <c r="AF817">
        <v>27300</v>
      </c>
      <c r="AI817">
        <v>27.1</v>
      </c>
      <c r="AL817">
        <v>4010</v>
      </c>
      <c r="AO817">
        <v>325</v>
      </c>
      <c r="AR817">
        <v>8.3000000000000007</v>
      </c>
      <c r="AU817">
        <v>3820</v>
      </c>
      <c r="AX817" t="s">
        <v>155</v>
      </c>
      <c r="BA817">
        <v>88.4</v>
      </c>
      <c r="BD817">
        <v>62.4</v>
      </c>
      <c r="BG817">
        <v>2.5999999999999999E-2</v>
      </c>
    </row>
    <row r="818" spans="1:61" x14ac:dyDescent="0.2">
      <c r="A818" t="s">
        <v>1725</v>
      </c>
      <c r="B818" t="s">
        <v>1726</v>
      </c>
      <c r="C818" t="s">
        <v>180</v>
      </c>
      <c r="D818" t="s">
        <v>135</v>
      </c>
      <c r="F818" s="1" t="s">
        <v>141</v>
      </c>
      <c r="G818" t="s">
        <v>1731</v>
      </c>
      <c r="H818">
        <v>21700</v>
      </c>
      <c r="K818">
        <v>3.9</v>
      </c>
      <c r="N818">
        <v>156</v>
      </c>
      <c r="S818">
        <v>0.45</v>
      </c>
      <c r="T818">
        <v>3000</v>
      </c>
      <c r="W818">
        <v>99.4</v>
      </c>
      <c r="Z818">
        <v>19.7</v>
      </c>
      <c r="AC818">
        <v>68.3</v>
      </c>
      <c r="AF818">
        <v>35600</v>
      </c>
      <c r="AK818">
        <v>2.2000000000000002</v>
      </c>
      <c r="AL818">
        <v>7390</v>
      </c>
      <c r="AO818">
        <v>89.9</v>
      </c>
      <c r="AR818">
        <v>46.8</v>
      </c>
      <c r="AU818" t="s">
        <v>155</v>
      </c>
      <c r="AX818" t="s">
        <v>155</v>
      </c>
      <c r="BA818">
        <v>100</v>
      </c>
      <c r="BD818">
        <v>54</v>
      </c>
      <c r="BG818">
        <v>2.9000000000000001E-2</v>
      </c>
    </row>
    <row r="819" spans="1:61" x14ac:dyDescent="0.2">
      <c r="A819" t="s">
        <v>1725</v>
      </c>
      <c r="B819" t="s">
        <v>1726</v>
      </c>
      <c r="C819" t="s">
        <v>180</v>
      </c>
      <c r="D819" t="s">
        <v>135</v>
      </c>
      <c r="F819" s="1" t="s">
        <v>141</v>
      </c>
      <c r="G819" t="s">
        <v>1732</v>
      </c>
      <c r="H819">
        <v>13200</v>
      </c>
      <c r="M819">
        <v>0.48</v>
      </c>
      <c r="N819">
        <v>109</v>
      </c>
      <c r="Q819">
        <v>1.3</v>
      </c>
      <c r="T819">
        <v>4690</v>
      </c>
      <c r="W819">
        <v>43.2</v>
      </c>
      <c r="Z819">
        <v>20.100000000000001</v>
      </c>
      <c r="AC819">
        <v>61.6</v>
      </c>
      <c r="AF819">
        <v>22700</v>
      </c>
      <c r="AI819">
        <v>1.2</v>
      </c>
      <c r="AL819">
        <v>8280</v>
      </c>
      <c r="AO819">
        <v>187</v>
      </c>
      <c r="AR819">
        <v>53.9</v>
      </c>
      <c r="AU819">
        <v>1320</v>
      </c>
      <c r="AX819" t="s">
        <v>155</v>
      </c>
      <c r="BA819">
        <v>47.2</v>
      </c>
      <c r="BD819">
        <v>35.700000000000003</v>
      </c>
      <c r="BG819">
        <v>5.1999999999999998E-3</v>
      </c>
    </row>
    <row r="820" spans="1:61" x14ac:dyDescent="0.2">
      <c r="A820" t="s">
        <v>1725</v>
      </c>
      <c r="B820" t="s">
        <v>1726</v>
      </c>
      <c r="C820" t="s">
        <v>180</v>
      </c>
      <c r="D820" t="s">
        <v>135</v>
      </c>
      <c r="F820" s="1" t="s">
        <v>140</v>
      </c>
      <c r="G820" t="s">
        <v>1733</v>
      </c>
      <c r="H820">
        <v>15000</v>
      </c>
      <c r="K820">
        <v>0.35</v>
      </c>
      <c r="N820">
        <v>145</v>
      </c>
      <c r="Q820">
        <v>2.6</v>
      </c>
      <c r="T820">
        <v>3480</v>
      </c>
      <c r="W820">
        <v>6.5</v>
      </c>
      <c r="Z820">
        <v>10.5</v>
      </c>
      <c r="AC820">
        <v>19.8</v>
      </c>
      <c r="AF820">
        <v>23500</v>
      </c>
      <c r="AI820">
        <v>4.4000000000000004</v>
      </c>
      <c r="AL820">
        <v>3810</v>
      </c>
      <c r="AO820">
        <v>245</v>
      </c>
      <c r="AR820">
        <v>6.8</v>
      </c>
      <c r="AU820">
        <v>3620</v>
      </c>
      <c r="AX820" t="s">
        <v>155</v>
      </c>
      <c r="BA820">
        <v>66.099999999999994</v>
      </c>
      <c r="BD820">
        <v>72.099999999999994</v>
      </c>
      <c r="BG820">
        <v>3.4000000000000002E-2</v>
      </c>
    </row>
    <row r="821" spans="1:61" x14ac:dyDescent="0.2">
      <c r="A821" t="s">
        <v>1725</v>
      </c>
      <c r="B821" t="s">
        <v>1726</v>
      </c>
      <c r="C821" t="s">
        <v>180</v>
      </c>
      <c r="D821" t="s">
        <v>135</v>
      </c>
      <c r="F821" s="1" t="s">
        <v>141</v>
      </c>
      <c r="G821" t="s">
        <v>1734</v>
      </c>
      <c r="H821">
        <v>26100</v>
      </c>
      <c r="M821">
        <v>0.36</v>
      </c>
      <c r="N821">
        <v>75.3</v>
      </c>
      <c r="Q821">
        <v>8.3000000000000007</v>
      </c>
      <c r="T821">
        <v>1490</v>
      </c>
      <c r="W821">
        <v>84.2</v>
      </c>
      <c r="Z821">
        <v>10.199999999999999</v>
      </c>
      <c r="AC821">
        <v>57.7</v>
      </c>
      <c r="AF821">
        <v>53700</v>
      </c>
      <c r="AI821">
        <v>6.3</v>
      </c>
      <c r="AL821">
        <v>3240</v>
      </c>
      <c r="AO821">
        <v>271</v>
      </c>
      <c r="AR821">
        <v>37.1</v>
      </c>
      <c r="AU821" t="s">
        <v>155</v>
      </c>
      <c r="AX821" t="s">
        <v>155</v>
      </c>
      <c r="BA821">
        <v>129</v>
      </c>
      <c r="BD821">
        <v>33.5</v>
      </c>
      <c r="BG821">
        <v>3.3000000000000002E-2</v>
      </c>
    </row>
    <row r="822" spans="1:61" x14ac:dyDescent="0.2">
      <c r="A822" t="s">
        <v>1725</v>
      </c>
      <c r="B822" t="s">
        <v>1726</v>
      </c>
      <c r="C822" t="s">
        <v>180</v>
      </c>
      <c r="D822" t="s">
        <v>135</v>
      </c>
      <c r="F822" s="1" t="s">
        <v>141</v>
      </c>
      <c r="G822" t="s">
        <v>1735</v>
      </c>
      <c r="H822">
        <v>12200</v>
      </c>
      <c r="M822">
        <v>0.42</v>
      </c>
      <c r="N822">
        <v>156</v>
      </c>
      <c r="Q822">
        <v>2.9</v>
      </c>
      <c r="T822">
        <v>3930</v>
      </c>
      <c r="W822">
        <v>39.5</v>
      </c>
      <c r="Z822">
        <v>27.1</v>
      </c>
      <c r="AC822">
        <v>114</v>
      </c>
      <c r="AF822">
        <v>29300</v>
      </c>
      <c r="AI822">
        <v>0.92</v>
      </c>
      <c r="AL822">
        <v>7140</v>
      </c>
      <c r="AO822">
        <v>525</v>
      </c>
      <c r="AR822">
        <v>64.7</v>
      </c>
      <c r="AU822">
        <v>2830</v>
      </c>
      <c r="AX822" t="s">
        <v>155</v>
      </c>
      <c r="BA822">
        <v>68.099999999999994</v>
      </c>
      <c r="BD822">
        <v>33.799999999999997</v>
      </c>
      <c r="BG822" t="s">
        <v>155</v>
      </c>
    </row>
    <row r="823" spans="1:61" x14ac:dyDescent="0.2">
      <c r="A823" t="s">
        <v>1736</v>
      </c>
      <c r="B823" t="s">
        <v>1737</v>
      </c>
      <c r="C823" t="s">
        <v>1738</v>
      </c>
      <c r="D823" t="s">
        <v>1739</v>
      </c>
      <c r="F823" s="1" t="s">
        <v>140</v>
      </c>
      <c r="G823" t="s">
        <v>1740</v>
      </c>
      <c r="I823" s="16">
        <f>(3780*1.66)</f>
        <v>6274.7999999999993</v>
      </c>
      <c r="M823">
        <v>0.25</v>
      </c>
      <c r="N823">
        <v>3</v>
      </c>
      <c r="Q823" t="s">
        <v>155</v>
      </c>
      <c r="T823">
        <v>107</v>
      </c>
      <c r="Y823">
        <v>2.2000000000000002</v>
      </c>
      <c r="Z823" t="s">
        <v>155</v>
      </c>
      <c r="AC823" t="s">
        <v>155</v>
      </c>
      <c r="AF823">
        <v>1290</v>
      </c>
      <c r="AJ823" s="16">
        <f>(2.9*1.44)</f>
        <v>4.1760000000000002</v>
      </c>
      <c r="AM823" s="16">
        <f>(102*1.23)</f>
        <v>125.46</v>
      </c>
      <c r="AQ823">
        <v>2</v>
      </c>
      <c r="AR823" t="s">
        <v>155</v>
      </c>
      <c r="AU823" t="s">
        <v>155</v>
      </c>
      <c r="AZ823">
        <v>30</v>
      </c>
      <c r="BA823" t="s">
        <v>155</v>
      </c>
      <c r="BF823">
        <v>10</v>
      </c>
      <c r="BI823">
        <v>0.06</v>
      </c>
    </row>
    <row r="824" spans="1:61" x14ac:dyDescent="0.2">
      <c r="A824" t="s">
        <v>1741</v>
      </c>
      <c r="B824" t="s">
        <v>1737</v>
      </c>
      <c r="C824" t="s">
        <v>576</v>
      </c>
      <c r="D824" t="s">
        <v>577</v>
      </c>
      <c r="F824" s="1" t="s">
        <v>140</v>
      </c>
      <c r="G824" t="s">
        <v>1742</v>
      </c>
      <c r="H824">
        <v>18000</v>
      </c>
      <c r="M824">
        <v>2</v>
      </c>
      <c r="N824">
        <v>21</v>
      </c>
      <c r="Q824" t="s">
        <v>155</v>
      </c>
      <c r="T824">
        <v>300</v>
      </c>
      <c r="W824">
        <v>20</v>
      </c>
      <c r="AB824">
        <v>3</v>
      </c>
      <c r="AE824">
        <v>4</v>
      </c>
      <c r="AF824">
        <v>16000</v>
      </c>
      <c r="AI824">
        <v>7.6</v>
      </c>
      <c r="AL824">
        <v>340</v>
      </c>
      <c r="AO824">
        <v>10</v>
      </c>
      <c r="AT824">
        <v>4.4000000000000004</v>
      </c>
      <c r="AW824">
        <v>470</v>
      </c>
      <c r="AX824">
        <v>66</v>
      </c>
      <c r="BA824">
        <v>37</v>
      </c>
      <c r="BD824">
        <v>20</v>
      </c>
      <c r="BI824">
        <v>0.06</v>
      </c>
    </row>
    <row r="825" spans="1:61" x14ac:dyDescent="0.2">
      <c r="A825" t="s">
        <v>1741</v>
      </c>
      <c r="B825" t="s">
        <v>1737</v>
      </c>
      <c r="C825" t="s">
        <v>576</v>
      </c>
      <c r="D825" t="s">
        <v>577</v>
      </c>
      <c r="F825" s="1" t="s">
        <v>153</v>
      </c>
      <c r="G825" t="s">
        <v>1743</v>
      </c>
      <c r="H825" t="s">
        <v>155</v>
      </c>
      <c r="K825">
        <v>2</v>
      </c>
      <c r="N825">
        <v>98</v>
      </c>
      <c r="S825">
        <v>15</v>
      </c>
      <c r="T825" t="s">
        <v>155</v>
      </c>
      <c r="Y825">
        <v>19</v>
      </c>
      <c r="Z825" t="s">
        <v>155</v>
      </c>
      <c r="AC825" t="s">
        <v>155</v>
      </c>
      <c r="AF825" t="s">
        <v>155</v>
      </c>
      <c r="AI825">
        <v>30</v>
      </c>
      <c r="AL825" t="s">
        <v>155</v>
      </c>
      <c r="AO825" t="s">
        <v>155</v>
      </c>
      <c r="AR825" t="s">
        <v>155</v>
      </c>
      <c r="AU825" t="s">
        <v>155</v>
      </c>
      <c r="AX825" t="s">
        <v>155</v>
      </c>
      <c r="BA825" t="s">
        <v>155</v>
      </c>
      <c r="BD825" t="s">
        <v>155</v>
      </c>
      <c r="BI825">
        <v>0.09</v>
      </c>
    </row>
    <row r="826" spans="1:61" x14ac:dyDescent="0.2">
      <c r="A826" t="s">
        <v>1744</v>
      </c>
      <c r="B826" t="s">
        <v>1745</v>
      </c>
      <c r="C826" t="s">
        <v>347</v>
      </c>
      <c r="D826" t="s">
        <v>126</v>
      </c>
      <c r="F826" s="1" t="s">
        <v>140</v>
      </c>
      <c r="G826" t="s">
        <v>1746</v>
      </c>
      <c r="H826">
        <v>14000</v>
      </c>
      <c r="M826">
        <v>1</v>
      </c>
      <c r="N826">
        <v>23</v>
      </c>
      <c r="Q826" t="s">
        <v>155</v>
      </c>
      <c r="T826">
        <v>360</v>
      </c>
      <c r="W826">
        <v>18</v>
      </c>
      <c r="AB826">
        <v>2.6</v>
      </c>
      <c r="AE826">
        <v>1</v>
      </c>
      <c r="AF826">
        <v>23000</v>
      </c>
      <c r="AI826">
        <v>14</v>
      </c>
      <c r="AN826">
        <v>390</v>
      </c>
      <c r="AQ826">
        <v>2</v>
      </c>
      <c r="AT826">
        <v>2.8</v>
      </c>
      <c r="AW826">
        <v>470</v>
      </c>
      <c r="AZ826">
        <v>160</v>
      </c>
      <c r="BA826">
        <v>41</v>
      </c>
      <c r="BF826">
        <v>20</v>
      </c>
      <c r="BI826">
        <v>0.1</v>
      </c>
    </row>
    <row r="827" spans="1:61" x14ac:dyDescent="0.2">
      <c r="A827" t="s">
        <v>1747</v>
      </c>
      <c r="B827" t="s">
        <v>1093</v>
      </c>
      <c r="C827" t="s">
        <v>1519</v>
      </c>
      <c r="D827" t="s">
        <v>292</v>
      </c>
      <c r="F827" s="1" t="s">
        <v>140</v>
      </c>
      <c r="G827" t="s">
        <v>1748</v>
      </c>
      <c r="H827" t="s">
        <v>155</v>
      </c>
      <c r="K827">
        <v>0.88</v>
      </c>
      <c r="N827">
        <v>6.9</v>
      </c>
      <c r="S827">
        <v>0.12</v>
      </c>
      <c r="T827">
        <v>36000</v>
      </c>
      <c r="W827" t="s">
        <v>155</v>
      </c>
      <c r="AB827">
        <v>1.6</v>
      </c>
      <c r="AC827" t="s">
        <v>155</v>
      </c>
      <c r="AF827">
        <v>2900</v>
      </c>
      <c r="AI827">
        <v>2.5</v>
      </c>
      <c r="AL827">
        <v>880</v>
      </c>
      <c r="AO827">
        <v>44</v>
      </c>
      <c r="AR827">
        <v>5.0999999999999996</v>
      </c>
      <c r="AU827">
        <v>610</v>
      </c>
      <c r="AZ827">
        <v>310</v>
      </c>
      <c r="BA827">
        <v>7.5</v>
      </c>
      <c r="BD827">
        <v>10</v>
      </c>
      <c r="BI827">
        <v>0.11</v>
      </c>
    </row>
    <row r="828" spans="1:61" x14ac:dyDescent="0.2">
      <c r="A828" t="s">
        <v>1747</v>
      </c>
      <c r="B828" t="s">
        <v>1093</v>
      </c>
      <c r="C828" t="s">
        <v>1519</v>
      </c>
      <c r="D828" t="s">
        <v>292</v>
      </c>
      <c r="F828" s="1" t="s">
        <v>1547</v>
      </c>
      <c r="G828" t="s">
        <v>1749</v>
      </c>
      <c r="H828" t="s">
        <v>155</v>
      </c>
      <c r="K828">
        <v>1.1000000000000001</v>
      </c>
      <c r="N828">
        <v>7.5</v>
      </c>
      <c r="S828">
        <v>0.12</v>
      </c>
      <c r="T828">
        <v>57000</v>
      </c>
      <c r="W828" t="s">
        <v>155</v>
      </c>
      <c r="AB828">
        <v>1.6</v>
      </c>
      <c r="AC828" t="s">
        <v>155</v>
      </c>
      <c r="AF828">
        <v>3200</v>
      </c>
      <c r="AI828">
        <v>2.2999999999999998</v>
      </c>
      <c r="AL828">
        <v>1400</v>
      </c>
      <c r="AO828">
        <v>53</v>
      </c>
      <c r="AR828">
        <v>4.0999999999999996</v>
      </c>
      <c r="AU828">
        <v>660</v>
      </c>
      <c r="AZ828">
        <v>300</v>
      </c>
      <c r="BA828">
        <v>11</v>
      </c>
      <c r="BD828">
        <v>15</v>
      </c>
      <c r="BI828">
        <v>9.8000000000000004E-2</v>
      </c>
    </row>
    <row r="829" spans="1:61" x14ac:dyDescent="0.2">
      <c r="A829" t="s">
        <v>1747</v>
      </c>
      <c r="B829" t="s">
        <v>1093</v>
      </c>
      <c r="C829" t="s">
        <v>1519</v>
      </c>
      <c r="D829" t="s">
        <v>292</v>
      </c>
      <c r="F829" s="1" t="s">
        <v>140</v>
      </c>
      <c r="G829" t="s">
        <v>1750</v>
      </c>
      <c r="H829" t="s">
        <v>155</v>
      </c>
      <c r="K829">
        <v>1.6</v>
      </c>
      <c r="N829">
        <v>7.4</v>
      </c>
      <c r="Q829">
        <v>0.13</v>
      </c>
      <c r="T829">
        <v>160000</v>
      </c>
      <c r="W829" t="s">
        <v>155</v>
      </c>
      <c r="Z829">
        <v>4.4000000000000004</v>
      </c>
      <c r="AC829" t="s">
        <v>155</v>
      </c>
      <c r="AF829">
        <v>4900</v>
      </c>
      <c r="AI829">
        <v>2.2999999999999998</v>
      </c>
      <c r="AL829">
        <v>2900</v>
      </c>
      <c r="AO829">
        <v>160</v>
      </c>
      <c r="AR829">
        <v>16</v>
      </c>
      <c r="AU829">
        <v>1700</v>
      </c>
      <c r="AZ829">
        <v>310</v>
      </c>
      <c r="BA829">
        <v>13</v>
      </c>
      <c r="BD829">
        <v>24</v>
      </c>
      <c r="BI829">
        <v>9.2999999999999999E-2</v>
      </c>
    </row>
    <row r="830" spans="1:61" x14ac:dyDescent="0.2">
      <c r="A830" t="s">
        <v>1747</v>
      </c>
      <c r="B830" t="s">
        <v>1093</v>
      </c>
      <c r="C830" t="s">
        <v>1519</v>
      </c>
      <c r="D830" t="s">
        <v>292</v>
      </c>
      <c r="F830" s="1" t="s">
        <v>141</v>
      </c>
      <c r="G830" t="s">
        <v>1751</v>
      </c>
      <c r="H830" t="s">
        <v>155</v>
      </c>
      <c r="K830">
        <v>3.2</v>
      </c>
      <c r="N830">
        <v>8.4</v>
      </c>
      <c r="Q830">
        <v>0.28999999999999998</v>
      </c>
      <c r="T830">
        <v>270000</v>
      </c>
      <c r="W830" t="s">
        <v>155</v>
      </c>
      <c r="Z830">
        <v>9.3000000000000007</v>
      </c>
      <c r="AC830" t="s">
        <v>155</v>
      </c>
      <c r="AF830">
        <v>7800</v>
      </c>
      <c r="AI830">
        <v>2.2000000000000002</v>
      </c>
      <c r="AL830">
        <v>6600</v>
      </c>
      <c r="AO830">
        <v>520</v>
      </c>
      <c r="AR830">
        <v>34</v>
      </c>
      <c r="AU830">
        <v>3100</v>
      </c>
      <c r="AZ830">
        <v>290</v>
      </c>
      <c r="BA830">
        <v>13</v>
      </c>
      <c r="BD830">
        <v>40</v>
      </c>
      <c r="BG830">
        <v>34</v>
      </c>
    </row>
    <row r="831" spans="1:61" x14ac:dyDescent="0.2">
      <c r="A831" t="s">
        <v>1747</v>
      </c>
      <c r="B831" t="s">
        <v>1093</v>
      </c>
      <c r="C831" t="s">
        <v>1519</v>
      </c>
      <c r="D831" t="s">
        <v>292</v>
      </c>
      <c r="F831" s="1" t="s">
        <v>140</v>
      </c>
      <c r="G831" t="s">
        <v>1752</v>
      </c>
      <c r="H831" t="s">
        <v>155</v>
      </c>
      <c r="K831">
        <v>1.2</v>
      </c>
      <c r="N831">
        <v>10</v>
      </c>
      <c r="S831">
        <v>0.11</v>
      </c>
      <c r="T831">
        <v>61000</v>
      </c>
      <c r="W831" t="s">
        <v>155</v>
      </c>
      <c r="Z831">
        <v>2.1</v>
      </c>
      <c r="AC831" t="s">
        <v>155</v>
      </c>
      <c r="AF831">
        <v>4100</v>
      </c>
      <c r="AI831">
        <v>3</v>
      </c>
      <c r="AL831">
        <v>1400</v>
      </c>
      <c r="AO831">
        <v>71</v>
      </c>
      <c r="AR831">
        <v>8.5</v>
      </c>
      <c r="AU831">
        <v>1000</v>
      </c>
      <c r="AZ831">
        <v>280</v>
      </c>
      <c r="BA831">
        <v>10</v>
      </c>
      <c r="BD831">
        <v>15</v>
      </c>
      <c r="BI831">
        <v>8.8999999999999996E-2</v>
      </c>
    </row>
    <row r="832" spans="1:61" x14ac:dyDescent="0.2">
      <c r="A832" t="s">
        <v>1747</v>
      </c>
      <c r="B832" t="s">
        <v>1093</v>
      </c>
      <c r="C832" t="s">
        <v>1519</v>
      </c>
      <c r="D832" t="s">
        <v>292</v>
      </c>
      <c r="F832" s="1" t="s">
        <v>141</v>
      </c>
      <c r="G832" t="s">
        <v>1753</v>
      </c>
      <c r="H832" t="s">
        <v>155</v>
      </c>
      <c r="M832">
        <v>0.59</v>
      </c>
      <c r="N832">
        <v>5.9</v>
      </c>
      <c r="S832">
        <v>0.12</v>
      </c>
      <c r="T832">
        <v>12000</v>
      </c>
      <c r="W832" t="s">
        <v>155</v>
      </c>
      <c r="AB832">
        <v>1.5</v>
      </c>
      <c r="AC832" t="s">
        <v>155</v>
      </c>
      <c r="AF832">
        <v>1600</v>
      </c>
      <c r="AI832">
        <v>2.2000000000000002</v>
      </c>
      <c r="AL832">
        <v>320</v>
      </c>
      <c r="AO832">
        <v>15</v>
      </c>
      <c r="AT832">
        <v>2.4</v>
      </c>
      <c r="AW832">
        <v>300</v>
      </c>
      <c r="AZ832">
        <v>300</v>
      </c>
      <c r="BA832">
        <v>4.7</v>
      </c>
      <c r="BD832">
        <v>4.5</v>
      </c>
      <c r="BI832">
        <v>9.8000000000000004E-2</v>
      </c>
    </row>
    <row r="833" spans="1:61" x14ac:dyDescent="0.2">
      <c r="A833" t="s">
        <v>1747</v>
      </c>
      <c r="B833" t="s">
        <v>1093</v>
      </c>
      <c r="C833" t="s">
        <v>1519</v>
      </c>
      <c r="D833" t="s">
        <v>292</v>
      </c>
      <c r="F833" s="1" t="s">
        <v>140</v>
      </c>
      <c r="G833" t="s">
        <v>1754</v>
      </c>
      <c r="H833" t="s">
        <v>155</v>
      </c>
      <c r="K833">
        <v>5</v>
      </c>
      <c r="N833">
        <v>5</v>
      </c>
      <c r="S833">
        <v>0.12</v>
      </c>
      <c r="T833">
        <v>110000</v>
      </c>
      <c r="W833" t="s">
        <v>155</v>
      </c>
      <c r="Z833">
        <v>1.6</v>
      </c>
      <c r="AC833" t="s">
        <v>155</v>
      </c>
      <c r="AF833">
        <v>3500</v>
      </c>
      <c r="AI833">
        <v>3</v>
      </c>
      <c r="AL833">
        <v>1900</v>
      </c>
      <c r="AO833">
        <v>78</v>
      </c>
      <c r="AR833">
        <v>5.3</v>
      </c>
      <c r="AU833">
        <v>810</v>
      </c>
      <c r="AZ833">
        <v>290</v>
      </c>
      <c r="BA833">
        <v>11</v>
      </c>
      <c r="BD833">
        <v>11</v>
      </c>
      <c r="BI833">
        <v>9.6000000000000002E-2</v>
      </c>
    </row>
    <row r="834" spans="1:61" x14ac:dyDescent="0.2">
      <c r="A834" t="s">
        <v>1747</v>
      </c>
      <c r="B834" t="s">
        <v>1093</v>
      </c>
      <c r="C834" t="s">
        <v>1519</v>
      </c>
      <c r="D834" t="s">
        <v>292</v>
      </c>
      <c r="F834" s="1" t="s">
        <v>141</v>
      </c>
      <c r="G834" t="s">
        <v>1755</v>
      </c>
      <c r="H834" t="s">
        <v>155</v>
      </c>
      <c r="K834">
        <v>2.8</v>
      </c>
      <c r="N834">
        <v>9.5</v>
      </c>
      <c r="Q834">
        <v>0.26</v>
      </c>
      <c r="T834">
        <v>190000</v>
      </c>
      <c r="W834" t="s">
        <v>155</v>
      </c>
      <c r="Z834">
        <v>10</v>
      </c>
      <c r="AC834" t="s">
        <v>155</v>
      </c>
      <c r="AF834">
        <v>9100</v>
      </c>
      <c r="AI834">
        <v>2.2999999999999998</v>
      </c>
      <c r="AL834">
        <v>4400</v>
      </c>
      <c r="AO834">
        <v>250</v>
      </c>
      <c r="AR834">
        <v>33</v>
      </c>
      <c r="AU834">
        <v>3300</v>
      </c>
      <c r="AX834">
        <v>210</v>
      </c>
      <c r="BA834">
        <v>18</v>
      </c>
      <c r="BD834">
        <v>49</v>
      </c>
      <c r="BI834">
        <v>9.4E-2</v>
      </c>
    </row>
    <row r="835" spans="1:61" x14ac:dyDescent="0.2">
      <c r="A835" t="s">
        <v>1747</v>
      </c>
      <c r="B835" t="s">
        <v>1093</v>
      </c>
      <c r="C835" t="s">
        <v>1519</v>
      </c>
      <c r="D835" t="s">
        <v>292</v>
      </c>
      <c r="F835" s="1" t="s">
        <v>141</v>
      </c>
      <c r="G835" t="s">
        <v>1756</v>
      </c>
      <c r="H835" t="s">
        <v>155</v>
      </c>
      <c r="K835">
        <v>1.6</v>
      </c>
      <c r="N835">
        <v>11</v>
      </c>
      <c r="Q835">
        <v>0.3</v>
      </c>
      <c r="T835">
        <v>160000</v>
      </c>
      <c r="W835" t="s">
        <v>155</v>
      </c>
      <c r="Z835">
        <v>6.6</v>
      </c>
      <c r="AC835" t="s">
        <v>155</v>
      </c>
      <c r="AF835">
        <v>8100</v>
      </c>
      <c r="AI835">
        <v>2.9</v>
      </c>
      <c r="AL835">
        <v>3200</v>
      </c>
      <c r="AO835">
        <v>230</v>
      </c>
      <c r="AR835">
        <v>23</v>
      </c>
      <c r="AU835">
        <v>3100</v>
      </c>
      <c r="AZ835">
        <v>300</v>
      </c>
      <c r="BA835">
        <v>20</v>
      </c>
      <c r="BD835">
        <v>36</v>
      </c>
      <c r="BI835">
        <v>0.6</v>
      </c>
    </row>
    <row r="836" spans="1:61" x14ac:dyDescent="0.2">
      <c r="A836" t="s">
        <v>1747</v>
      </c>
      <c r="B836" t="s">
        <v>1093</v>
      </c>
      <c r="C836" t="s">
        <v>1519</v>
      </c>
      <c r="D836" t="s">
        <v>292</v>
      </c>
      <c r="F836" s="1" t="s">
        <v>140</v>
      </c>
      <c r="G836" t="s">
        <v>1757</v>
      </c>
      <c r="H836" t="s">
        <v>155</v>
      </c>
      <c r="K836">
        <v>1.6</v>
      </c>
      <c r="N836">
        <v>8.8000000000000007</v>
      </c>
      <c r="Q836">
        <v>0.14000000000000001</v>
      </c>
      <c r="T836">
        <v>110000</v>
      </c>
      <c r="W836" t="s">
        <v>155</v>
      </c>
      <c r="Z836">
        <v>4.3</v>
      </c>
      <c r="AC836" t="s">
        <v>155</v>
      </c>
      <c r="AF836">
        <v>6200</v>
      </c>
      <c r="AI836">
        <v>3.4</v>
      </c>
      <c r="AL836">
        <v>2500</v>
      </c>
      <c r="AO836">
        <v>130</v>
      </c>
      <c r="AR836">
        <v>14</v>
      </c>
      <c r="AU836">
        <v>1800</v>
      </c>
      <c r="AX836">
        <v>300</v>
      </c>
      <c r="BA836">
        <v>15</v>
      </c>
      <c r="BD836">
        <v>35</v>
      </c>
      <c r="BI836">
        <v>9.1999999999999998E-2</v>
      </c>
    </row>
    <row r="837" spans="1:61" x14ac:dyDescent="0.2">
      <c r="A837" t="s">
        <v>1747</v>
      </c>
      <c r="B837" t="s">
        <v>1093</v>
      </c>
      <c r="C837" t="s">
        <v>1519</v>
      </c>
      <c r="D837" t="s">
        <v>292</v>
      </c>
      <c r="F837" s="1" t="s">
        <v>140</v>
      </c>
      <c r="G837" t="s">
        <v>1758</v>
      </c>
      <c r="H837" t="s">
        <v>155</v>
      </c>
      <c r="K837">
        <v>1.2</v>
      </c>
      <c r="N837">
        <v>8.1</v>
      </c>
      <c r="S837">
        <v>0.11</v>
      </c>
      <c r="T837">
        <v>70000</v>
      </c>
      <c r="W837" t="s">
        <v>155</v>
      </c>
      <c r="Z837">
        <v>3.2</v>
      </c>
      <c r="AC837" t="s">
        <v>155</v>
      </c>
      <c r="AF837">
        <v>5000</v>
      </c>
      <c r="AI837">
        <v>2.9</v>
      </c>
      <c r="AL837">
        <v>1800</v>
      </c>
      <c r="AO837">
        <v>94</v>
      </c>
      <c r="AR837">
        <v>11</v>
      </c>
      <c r="AU837">
        <v>1400</v>
      </c>
      <c r="AZ837">
        <v>270</v>
      </c>
      <c r="BA837">
        <v>12</v>
      </c>
      <c r="BD837">
        <v>20</v>
      </c>
      <c r="BI837">
        <v>9.1999999999999998E-2</v>
      </c>
    </row>
    <row r="838" spans="1:61" x14ac:dyDescent="0.2">
      <c r="A838" t="s">
        <v>1747</v>
      </c>
      <c r="B838" t="s">
        <v>1093</v>
      </c>
      <c r="C838" t="s">
        <v>1519</v>
      </c>
      <c r="D838" t="s">
        <v>292</v>
      </c>
      <c r="F838" s="1" t="s">
        <v>140</v>
      </c>
      <c r="G838" t="s">
        <v>1759</v>
      </c>
      <c r="H838" t="s">
        <v>155</v>
      </c>
      <c r="K838">
        <v>1.1000000000000001</v>
      </c>
      <c r="N838">
        <v>11</v>
      </c>
      <c r="Q838">
        <v>0.13</v>
      </c>
      <c r="T838">
        <v>69000</v>
      </c>
      <c r="W838" t="s">
        <v>155</v>
      </c>
      <c r="Z838">
        <v>3.9</v>
      </c>
      <c r="AC838" t="s">
        <v>155</v>
      </c>
      <c r="AF838">
        <v>5500</v>
      </c>
      <c r="AI838">
        <v>5.2</v>
      </c>
      <c r="AL838">
        <v>1800</v>
      </c>
      <c r="AO838">
        <v>98</v>
      </c>
      <c r="AR838">
        <v>13</v>
      </c>
      <c r="AU838">
        <v>1600</v>
      </c>
      <c r="AX838">
        <v>110</v>
      </c>
      <c r="BA838">
        <v>14</v>
      </c>
      <c r="BD838">
        <v>24</v>
      </c>
      <c r="BI838">
        <v>0.11</v>
      </c>
    </row>
    <row r="839" spans="1:61" x14ac:dyDescent="0.2">
      <c r="A839" t="s">
        <v>1747</v>
      </c>
      <c r="B839" t="s">
        <v>1093</v>
      </c>
      <c r="C839" t="s">
        <v>1519</v>
      </c>
      <c r="D839" t="s">
        <v>292</v>
      </c>
      <c r="F839" s="1" t="s">
        <v>153</v>
      </c>
      <c r="G839" t="s">
        <v>693</v>
      </c>
      <c r="H839">
        <v>5100</v>
      </c>
      <c r="L839" s="16">
        <f>(0.37*1.74)</f>
        <v>0.64380000000000004</v>
      </c>
      <c r="N839">
        <v>11</v>
      </c>
      <c r="S839">
        <v>0.1</v>
      </c>
      <c r="T839">
        <v>640</v>
      </c>
      <c r="W839">
        <v>5.7</v>
      </c>
      <c r="AA839" s="16">
        <f>(0.42*1.25)</f>
        <v>0.52500000000000002</v>
      </c>
      <c r="AC839">
        <v>0.9</v>
      </c>
      <c r="AF839">
        <v>2000</v>
      </c>
      <c r="AI839">
        <v>6.4</v>
      </c>
      <c r="AM839" s="16">
        <f>(210*1.23)</f>
        <v>258.3</v>
      </c>
      <c r="AO839">
        <v>9.9</v>
      </c>
      <c r="AS839" s="16">
        <f>(1.3*1.35)</f>
        <v>1.7550000000000001</v>
      </c>
      <c r="AV839" s="16">
        <f>(240*17.49)</f>
        <v>4197.5999999999995</v>
      </c>
      <c r="AY839" s="16">
        <f>(34*25.43)</f>
        <v>864.62</v>
      </c>
      <c r="BA839">
        <v>8</v>
      </c>
      <c r="BD839">
        <v>6.7</v>
      </c>
      <c r="BH839" s="16">
        <f>(0.016*1.83)</f>
        <v>2.928E-2</v>
      </c>
    </row>
    <row r="840" spans="1:61" x14ac:dyDescent="0.2">
      <c r="A840" t="s">
        <v>1747</v>
      </c>
      <c r="B840" t="s">
        <v>1093</v>
      </c>
      <c r="C840" t="s">
        <v>1519</v>
      </c>
      <c r="D840" t="s">
        <v>292</v>
      </c>
      <c r="F840" s="1" t="s">
        <v>153</v>
      </c>
      <c r="G840" t="s">
        <v>694</v>
      </c>
      <c r="H840">
        <v>1400</v>
      </c>
      <c r="M840">
        <v>1.3</v>
      </c>
      <c r="N840">
        <v>12</v>
      </c>
      <c r="S840">
        <v>0.27</v>
      </c>
      <c r="T840">
        <v>1200</v>
      </c>
      <c r="W840">
        <v>3.6</v>
      </c>
      <c r="AA840" s="16">
        <f>(0.51*1.25)</f>
        <v>0.63749999999999996</v>
      </c>
      <c r="AC840">
        <v>0.91</v>
      </c>
      <c r="AF840">
        <v>1000</v>
      </c>
      <c r="AI840">
        <v>3</v>
      </c>
      <c r="AM840" s="16">
        <f>(98*1.23)</f>
        <v>120.53999999999999</v>
      </c>
      <c r="AO840">
        <v>9.4</v>
      </c>
      <c r="AS840" s="16">
        <f>(1*1.35)</f>
        <v>1.35</v>
      </c>
      <c r="AV840" s="16">
        <f>(66*17.49)</f>
        <v>1154.3399999999999</v>
      </c>
      <c r="AY840" s="16">
        <f>(140*25.43)</f>
        <v>3560.2</v>
      </c>
      <c r="BB840" s="16">
        <f>(4*1.34)</f>
        <v>5.36</v>
      </c>
      <c r="BD840">
        <v>12</v>
      </c>
      <c r="BI840">
        <v>0.21</v>
      </c>
    </row>
    <row r="841" spans="1:61" x14ac:dyDescent="0.2">
      <c r="A841" t="s">
        <v>1747</v>
      </c>
      <c r="B841" t="s">
        <v>1093</v>
      </c>
      <c r="C841" t="s">
        <v>1519</v>
      </c>
      <c r="D841" t="s">
        <v>292</v>
      </c>
      <c r="F841" s="1" t="s">
        <v>153</v>
      </c>
      <c r="G841" t="s">
        <v>751</v>
      </c>
      <c r="H841">
        <v>3400</v>
      </c>
      <c r="L841" s="16">
        <f>(0.8*1.74)</f>
        <v>1.3920000000000001</v>
      </c>
      <c r="N841">
        <v>15</v>
      </c>
      <c r="S841">
        <v>0.24</v>
      </c>
      <c r="T841">
        <v>1500</v>
      </c>
      <c r="W841">
        <v>4.5</v>
      </c>
      <c r="AA841" s="16">
        <f>(1.6*1.25)</f>
        <v>2</v>
      </c>
      <c r="AC841">
        <v>0.67</v>
      </c>
      <c r="AF841">
        <v>3700</v>
      </c>
      <c r="AI841">
        <v>4.9000000000000004</v>
      </c>
      <c r="AM841" s="16">
        <f>(180*1.23)</f>
        <v>221.4</v>
      </c>
      <c r="AO841">
        <v>42</v>
      </c>
      <c r="AS841" s="16">
        <f>(1.4*1.35)</f>
        <v>1.89</v>
      </c>
      <c r="AV841" s="16">
        <f>(180*17.49)</f>
        <v>3148.2</v>
      </c>
      <c r="AZ841">
        <v>590</v>
      </c>
      <c r="BA841">
        <v>6.4</v>
      </c>
      <c r="BD841">
        <v>30</v>
      </c>
      <c r="BH841" s="16">
        <f>(0.022*1.83)</f>
        <v>4.0259999999999997E-2</v>
      </c>
    </row>
    <row r="842" spans="1:61" x14ac:dyDescent="0.2">
      <c r="A842" t="s">
        <v>1747</v>
      </c>
      <c r="B842" t="s">
        <v>1093</v>
      </c>
      <c r="C842" t="s">
        <v>1519</v>
      </c>
      <c r="D842" t="s">
        <v>292</v>
      </c>
      <c r="F842" s="1" t="s">
        <v>153</v>
      </c>
      <c r="G842" t="s">
        <v>765</v>
      </c>
      <c r="H842">
        <v>910</v>
      </c>
      <c r="L842" s="16">
        <f>(0.33*1.74)</f>
        <v>0.57420000000000004</v>
      </c>
      <c r="N842">
        <v>4.7</v>
      </c>
      <c r="S842">
        <v>0.15</v>
      </c>
      <c r="T842">
        <v>610</v>
      </c>
      <c r="W842">
        <v>1.3</v>
      </c>
      <c r="AA842" s="16">
        <f>(0.3*1.25)</f>
        <v>0.375</v>
      </c>
      <c r="AC842">
        <v>9.1</v>
      </c>
      <c r="AF842">
        <v>1200</v>
      </c>
      <c r="AI842">
        <v>14</v>
      </c>
      <c r="AM842" s="16">
        <f>(45*1.23)</f>
        <v>55.35</v>
      </c>
      <c r="AO842">
        <v>6.1</v>
      </c>
      <c r="AS842" s="16">
        <f>(0.61*1.35)</f>
        <v>0.82350000000000001</v>
      </c>
      <c r="AV842" s="16">
        <f>(34*17.49)</f>
        <v>594.66</v>
      </c>
      <c r="AY842" s="16">
        <f>(48*25.43)</f>
        <v>1220.6399999999999</v>
      </c>
      <c r="BB842" s="16">
        <f>(1.7*1.34)</f>
        <v>2.278</v>
      </c>
      <c r="BD842">
        <v>17</v>
      </c>
      <c r="BH842" s="16">
        <f>(0.018*1.83)</f>
        <v>3.2939999999999997E-2</v>
      </c>
    </row>
    <row r="843" spans="1:61" x14ac:dyDescent="0.2">
      <c r="A843" t="s">
        <v>1760</v>
      </c>
      <c r="B843" t="s">
        <v>1761</v>
      </c>
      <c r="C843" t="s">
        <v>180</v>
      </c>
      <c r="D843" t="s">
        <v>135</v>
      </c>
      <c r="F843" s="1" t="s">
        <v>140</v>
      </c>
      <c r="G843" t="s">
        <v>690</v>
      </c>
      <c r="H843">
        <v>15400</v>
      </c>
      <c r="K843" t="s">
        <v>155</v>
      </c>
      <c r="N843">
        <v>77.8</v>
      </c>
      <c r="Q843">
        <v>9</v>
      </c>
      <c r="T843" t="s">
        <v>155</v>
      </c>
      <c r="W843">
        <v>24.4</v>
      </c>
      <c r="Z843">
        <v>34.299999999999997</v>
      </c>
      <c r="AC843" t="s">
        <v>155</v>
      </c>
      <c r="AF843">
        <v>53200</v>
      </c>
      <c r="AI843">
        <v>20.5</v>
      </c>
      <c r="AL843" t="s">
        <v>155</v>
      </c>
      <c r="AO843">
        <v>2260</v>
      </c>
      <c r="AR843" t="s">
        <v>155</v>
      </c>
      <c r="AU843" t="s">
        <v>155</v>
      </c>
      <c r="AX843" t="s">
        <v>155</v>
      </c>
      <c r="BA843">
        <v>202</v>
      </c>
      <c r="BD843">
        <v>29.3</v>
      </c>
      <c r="BG843" t="s">
        <v>155</v>
      </c>
    </row>
    <row r="844" spans="1:61" x14ac:dyDescent="0.2">
      <c r="A844" t="s">
        <v>1760</v>
      </c>
      <c r="B844" t="s">
        <v>1761</v>
      </c>
      <c r="C844" t="s">
        <v>180</v>
      </c>
      <c r="D844" t="s">
        <v>135</v>
      </c>
      <c r="F844" s="1" t="s">
        <v>141</v>
      </c>
      <c r="G844" t="s">
        <v>1762</v>
      </c>
      <c r="H844" t="s">
        <v>155</v>
      </c>
      <c r="K844">
        <v>1</v>
      </c>
      <c r="N844">
        <v>84</v>
      </c>
      <c r="S844">
        <v>1</v>
      </c>
      <c r="T844" t="s">
        <v>155</v>
      </c>
      <c r="W844">
        <v>22</v>
      </c>
      <c r="Z844" t="s">
        <v>155</v>
      </c>
      <c r="AC844" t="s">
        <v>155</v>
      </c>
      <c r="AF844" t="s">
        <v>155</v>
      </c>
      <c r="AI844">
        <v>4.5</v>
      </c>
      <c r="AL844" t="s">
        <v>155</v>
      </c>
      <c r="AO844" t="s">
        <v>155</v>
      </c>
      <c r="AR844" t="s">
        <v>155</v>
      </c>
      <c r="AU844" t="s">
        <v>155</v>
      </c>
      <c r="AX844" t="s">
        <v>155</v>
      </c>
      <c r="BA844">
        <v>130</v>
      </c>
      <c r="BD844" t="s">
        <v>155</v>
      </c>
      <c r="BG844" t="s">
        <v>155</v>
      </c>
    </row>
    <row r="845" spans="1:61" x14ac:dyDescent="0.2">
      <c r="A845" t="s">
        <v>1760</v>
      </c>
      <c r="B845" t="s">
        <v>1761</v>
      </c>
      <c r="C845" t="s">
        <v>180</v>
      </c>
      <c r="D845" t="s">
        <v>135</v>
      </c>
      <c r="F845" s="1" t="s">
        <v>141</v>
      </c>
      <c r="G845" t="s">
        <v>1763</v>
      </c>
      <c r="H845" t="s">
        <v>155</v>
      </c>
      <c r="M845">
        <v>1</v>
      </c>
      <c r="N845">
        <v>31</v>
      </c>
      <c r="S845">
        <v>1</v>
      </c>
      <c r="T845" t="s">
        <v>155</v>
      </c>
      <c r="W845">
        <v>10</v>
      </c>
      <c r="Z845" t="s">
        <v>155</v>
      </c>
      <c r="AC845" t="s">
        <v>155</v>
      </c>
      <c r="AF845" t="s">
        <v>155</v>
      </c>
      <c r="AI845">
        <v>4</v>
      </c>
      <c r="AL845" t="s">
        <v>155</v>
      </c>
      <c r="AO845" t="s">
        <v>155</v>
      </c>
      <c r="AR845" t="s">
        <v>155</v>
      </c>
      <c r="AU845" t="s">
        <v>155</v>
      </c>
      <c r="AX845" t="s">
        <v>155</v>
      </c>
      <c r="BA845">
        <v>74</v>
      </c>
      <c r="BD845" t="s">
        <v>155</v>
      </c>
      <c r="BG845" t="s">
        <v>155</v>
      </c>
    </row>
    <row r="846" spans="1:61" x14ac:dyDescent="0.2">
      <c r="A846" t="s">
        <v>1764</v>
      </c>
      <c r="B846" t="s">
        <v>1765</v>
      </c>
      <c r="C846" t="s">
        <v>323</v>
      </c>
      <c r="D846" t="s">
        <v>324</v>
      </c>
      <c r="F846" s="1" t="s">
        <v>140</v>
      </c>
      <c r="G846" t="s">
        <v>1766</v>
      </c>
      <c r="H846" t="s">
        <v>155</v>
      </c>
      <c r="M846">
        <v>14</v>
      </c>
      <c r="N846" t="s">
        <v>155</v>
      </c>
      <c r="Q846" t="s">
        <v>155</v>
      </c>
      <c r="T846" t="s">
        <v>155</v>
      </c>
      <c r="W846" t="s">
        <v>155</v>
      </c>
      <c r="Z846" t="s">
        <v>155</v>
      </c>
      <c r="AC846" t="s">
        <v>155</v>
      </c>
      <c r="AF846" t="s">
        <v>155</v>
      </c>
      <c r="AI846">
        <v>104</v>
      </c>
      <c r="AL846" t="s">
        <v>155</v>
      </c>
      <c r="AO846">
        <v>57.6</v>
      </c>
      <c r="AR846" t="s">
        <v>155</v>
      </c>
      <c r="AU846" t="s">
        <v>155</v>
      </c>
      <c r="AX846" t="s">
        <v>155</v>
      </c>
      <c r="BA846">
        <v>27.7</v>
      </c>
      <c r="BD846" t="s">
        <v>155</v>
      </c>
      <c r="BG846" t="s">
        <v>155</v>
      </c>
    </row>
    <row r="847" spans="1:61" x14ac:dyDescent="0.2">
      <c r="A847" t="s">
        <v>1764</v>
      </c>
      <c r="B847" t="s">
        <v>1765</v>
      </c>
      <c r="C847" t="s">
        <v>323</v>
      </c>
      <c r="D847" t="s">
        <v>324</v>
      </c>
      <c r="F847" s="1" t="s">
        <v>140</v>
      </c>
      <c r="G847" t="s">
        <v>1767</v>
      </c>
      <c r="H847" t="s">
        <v>155</v>
      </c>
      <c r="M847">
        <v>17.899999999999999</v>
      </c>
      <c r="N847" t="s">
        <v>155</v>
      </c>
      <c r="Q847" t="s">
        <v>155</v>
      </c>
      <c r="T847" t="s">
        <v>155</v>
      </c>
      <c r="W847" t="s">
        <v>155</v>
      </c>
      <c r="Z847" t="s">
        <v>155</v>
      </c>
      <c r="AC847" t="s">
        <v>155</v>
      </c>
      <c r="AF847" t="s">
        <v>155</v>
      </c>
      <c r="AI847">
        <v>96.4</v>
      </c>
      <c r="AL847" t="s">
        <v>155</v>
      </c>
      <c r="AO847">
        <v>66.5</v>
      </c>
      <c r="AR847" t="s">
        <v>155</v>
      </c>
      <c r="AU847" t="s">
        <v>155</v>
      </c>
      <c r="AX847" t="s">
        <v>155</v>
      </c>
      <c r="BA847">
        <v>35.5</v>
      </c>
      <c r="BD847" t="s">
        <v>155</v>
      </c>
      <c r="BG847" t="s">
        <v>155</v>
      </c>
    </row>
    <row r="848" spans="1:61" x14ac:dyDescent="0.2">
      <c r="A848" t="s">
        <v>1764</v>
      </c>
      <c r="B848" t="s">
        <v>1765</v>
      </c>
      <c r="C848" t="s">
        <v>323</v>
      </c>
      <c r="D848" t="s">
        <v>324</v>
      </c>
      <c r="F848" s="1" t="s">
        <v>141</v>
      </c>
      <c r="G848" t="s">
        <v>1768</v>
      </c>
      <c r="H848" t="s">
        <v>155</v>
      </c>
      <c r="M848">
        <v>23.8</v>
      </c>
      <c r="N848" t="s">
        <v>155</v>
      </c>
      <c r="Q848" t="s">
        <v>155</v>
      </c>
      <c r="T848" t="s">
        <v>155</v>
      </c>
      <c r="W848" t="s">
        <v>155</v>
      </c>
      <c r="Z848" t="s">
        <v>155</v>
      </c>
      <c r="AC848" t="s">
        <v>155</v>
      </c>
      <c r="AF848" t="s">
        <v>155</v>
      </c>
      <c r="AI848">
        <v>121</v>
      </c>
      <c r="AL848" t="s">
        <v>155</v>
      </c>
      <c r="AO848">
        <v>71.099999999999994</v>
      </c>
      <c r="AR848" t="s">
        <v>155</v>
      </c>
      <c r="AU848" t="s">
        <v>155</v>
      </c>
      <c r="AX848" t="s">
        <v>155</v>
      </c>
      <c r="BA848">
        <v>36.700000000000003</v>
      </c>
      <c r="BD848" t="s">
        <v>155</v>
      </c>
      <c r="BG848" t="s">
        <v>155</v>
      </c>
    </row>
    <row r="849" spans="1:59" x14ac:dyDescent="0.2">
      <c r="A849" t="s">
        <v>1764</v>
      </c>
      <c r="B849" t="s">
        <v>1765</v>
      </c>
      <c r="C849" t="s">
        <v>323</v>
      </c>
      <c r="D849" t="s">
        <v>324</v>
      </c>
      <c r="F849" s="1" t="s">
        <v>140</v>
      </c>
      <c r="G849" t="s">
        <v>1769</v>
      </c>
      <c r="H849" t="s">
        <v>155</v>
      </c>
      <c r="L849" s="16">
        <f>(1.08*1.74)</f>
        <v>1.8792000000000002</v>
      </c>
      <c r="N849" t="s">
        <v>155</v>
      </c>
      <c r="Q849" t="s">
        <v>155</v>
      </c>
      <c r="T849" t="s">
        <v>155</v>
      </c>
      <c r="W849" t="s">
        <v>155</v>
      </c>
      <c r="Z849" t="s">
        <v>155</v>
      </c>
      <c r="AC849" t="s">
        <v>155</v>
      </c>
      <c r="AF849" t="s">
        <v>155</v>
      </c>
      <c r="AI849">
        <v>19.2</v>
      </c>
      <c r="AL849" t="s">
        <v>155</v>
      </c>
      <c r="AO849">
        <v>19.399999999999999</v>
      </c>
      <c r="AR849" t="s">
        <v>155</v>
      </c>
      <c r="AU849" t="s">
        <v>155</v>
      </c>
      <c r="AX849" t="s">
        <v>155</v>
      </c>
      <c r="BA849">
        <v>10.199999999999999</v>
      </c>
      <c r="BD849" t="s">
        <v>155</v>
      </c>
      <c r="BG849" t="s">
        <v>155</v>
      </c>
    </row>
    <row r="850" spans="1:59" x14ac:dyDescent="0.2">
      <c r="A850" t="s">
        <v>1764</v>
      </c>
      <c r="B850" t="s">
        <v>1765</v>
      </c>
      <c r="C850" t="s">
        <v>323</v>
      </c>
      <c r="D850" t="s">
        <v>324</v>
      </c>
      <c r="F850" s="1" t="s">
        <v>141</v>
      </c>
      <c r="G850" t="s">
        <v>1770</v>
      </c>
      <c r="H850" t="s">
        <v>155</v>
      </c>
      <c r="L850" s="16">
        <f>(4.48*1.74)</f>
        <v>7.7952000000000004</v>
      </c>
      <c r="N850" t="s">
        <v>155</v>
      </c>
      <c r="Q850" t="s">
        <v>155</v>
      </c>
      <c r="T850" t="s">
        <v>155</v>
      </c>
      <c r="W850" t="s">
        <v>155</v>
      </c>
      <c r="Z850" t="s">
        <v>155</v>
      </c>
      <c r="AC850" t="s">
        <v>155</v>
      </c>
      <c r="AF850" t="s">
        <v>155</v>
      </c>
      <c r="AJ850" s="16">
        <f>(3.96*1.44)</f>
        <v>5.7023999999999999</v>
      </c>
      <c r="AL850" t="s">
        <v>155</v>
      </c>
      <c r="AO850">
        <v>70.400000000000006</v>
      </c>
      <c r="AR850" t="s">
        <v>155</v>
      </c>
      <c r="AU850" t="s">
        <v>155</v>
      </c>
      <c r="AX850" t="s">
        <v>155</v>
      </c>
      <c r="BA850">
        <v>32.299999999999997</v>
      </c>
      <c r="BD850" t="s">
        <v>155</v>
      </c>
      <c r="BG850" t="s">
        <v>155</v>
      </c>
    </row>
    <row r="851" spans="1:59" x14ac:dyDescent="0.2">
      <c r="A851" t="s">
        <v>1764</v>
      </c>
      <c r="B851" t="s">
        <v>1765</v>
      </c>
      <c r="C851" t="s">
        <v>323</v>
      </c>
      <c r="D851" t="s">
        <v>324</v>
      </c>
      <c r="F851" s="1" t="s">
        <v>141</v>
      </c>
      <c r="G851" t="s">
        <v>1771</v>
      </c>
      <c r="H851" t="s">
        <v>155</v>
      </c>
      <c r="L851" s="16">
        <f>(1.18*1.74)</f>
        <v>2.0531999999999999</v>
      </c>
      <c r="N851" t="s">
        <v>155</v>
      </c>
      <c r="Q851" t="s">
        <v>155</v>
      </c>
      <c r="T851" t="s">
        <v>155</v>
      </c>
      <c r="W851" t="s">
        <v>155</v>
      </c>
      <c r="Z851" t="s">
        <v>155</v>
      </c>
      <c r="AC851" t="s">
        <v>155</v>
      </c>
      <c r="AF851" t="s">
        <v>155</v>
      </c>
      <c r="AJ851" s="16">
        <f>(2.62*1.44)</f>
        <v>3.7728000000000002</v>
      </c>
      <c r="AL851" t="s">
        <v>155</v>
      </c>
      <c r="AO851">
        <v>159</v>
      </c>
      <c r="AR851" t="s">
        <v>155</v>
      </c>
      <c r="AU851" t="s">
        <v>155</v>
      </c>
      <c r="AX851" t="s">
        <v>155</v>
      </c>
      <c r="BA851">
        <v>20.9</v>
      </c>
      <c r="BD851" t="s">
        <v>155</v>
      </c>
      <c r="BG851" t="s">
        <v>155</v>
      </c>
    </row>
    <row r="852" spans="1:59" x14ac:dyDescent="0.2">
      <c r="A852" t="s">
        <v>1764</v>
      </c>
      <c r="B852" t="s">
        <v>1765</v>
      </c>
      <c r="C852" t="s">
        <v>323</v>
      </c>
      <c r="D852" t="s">
        <v>324</v>
      </c>
      <c r="F852" s="1" t="s">
        <v>140</v>
      </c>
      <c r="G852" t="s">
        <v>1772</v>
      </c>
      <c r="H852" t="s">
        <v>155</v>
      </c>
      <c r="M852">
        <v>7.55</v>
      </c>
      <c r="N852" t="s">
        <v>155</v>
      </c>
      <c r="Q852" t="s">
        <v>155</v>
      </c>
      <c r="T852" t="s">
        <v>155</v>
      </c>
      <c r="W852" t="s">
        <v>155</v>
      </c>
      <c r="Z852" t="s">
        <v>155</v>
      </c>
      <c r="AC852" t="s">
        <v>155</v>
      </c>
      <c r="AF852" t="s">
        <v>155</v>
      </c>
      <c r="AI852">
        <v>126</v>
      </c>
      <c r="AL852" t="s">
        <v>155</v>
      </c>
      <c r="AO852">
        <v>60.2</v>
      </c>
      <c r="AR852" t="s">
        <v>155</v>
      </c>
      <c r="AU852" t="s">
        <v>155</v>
      </c>
      <c r="AX852" t="s">
        <v>155</v>
      </c>
      <c r="BA852">
        <v>14</v>
      </c>
      <c r="BD852" t="s">
        <v>155</v>
      </c>
      <c r="BG852" t="s">
        <v>155</v>
      </c>
    </row>
    <row r="853" spans="1:59" x14ac:dyDescent="0.2">
      <c r="A853" t="s">
        <v>1764</v>
      </c>
      <c r="B853" t="s">
        <v>1765</v>
      </c>
      <c r="C853" t="s">
        <v>323</v>
      </c>
      <c r="D853" t="s">
        <v>324</v>
      </c>
      <c r="F853" s="1" t="s">
        <v>141</v>
      </c>
      <c r="G853" t="s">
        <v>1773</v>
      </c>
      <c r="H853" t="s">
        <v>155</v>
      </c>
      <c r="L853" s="16">
        <f>(0.955*1.74)</f>
        <v>1.6617</v>
      </c>
      <c r="N853" t="s">
        <v>155</v>
      </c>
      <c r="Q853" t="s">
        <v>155</v>
      </c>
      <c r="T853" t="s">
        <v>155</v>
      </c>
      <c r="W853" t="s">
        <v>155</v>
      </c>
      <c r="Z853" t="s">
        <v>155</v>
      </c>
      <c r="AC853" t="s">
        <v>155</v>
      </c>
      <c r="AF853" t="s">
        <v>155</v>
      </c>
      <c r="AJ853" s="16">
        <f>(2.29*1.44)</f>
        <v>3.2976000000000001</v>
      </c>
      <c r="AL853" t="s">
        <v>155</v>
      </c>
      <c r="AO853">
        <v>55.5</v>
      </c>
      <c r="AR853" t="s">
        <v>155</v>
      </c>
      <c r="AU853" t="s">
        <v>155</v>
      </c>
      <c r="AX853" t="s">
        <v>155</v>
      </c>
      <c r="BA853">
        <v>19.8</v>
      </c>
      <c r="BD853" t="s">
        <v>155</v>
      </c>
      <c r="BG853" t="s">
        <v>155</v>
      </c>
    </row>
    <row r="854" spans="1:59" x14ac:dyDescent="0.2">
      <c r="A854" t="s">
        <v>1764</v>
      </c>
      <c r="B854" t="s">
        <v>1765</v>
      </c>
      <c r="C854" t="s">
        <v>323</v>
      </c>
      <c r="D854" t="s">
        <v>324</v>
      </c>
      <c r="F854" s="1" t="s">
        <v>141</v>
      </c>
      <c r="G854" t="s">
        <v>1774</v>
      </c>
      <c r="H854" t="s">
        <v>155</v>
      </c>
      <c r="L854" s="16">
        <f>(2.25*1.74)</f>
        <v>3.915</v>
      </c>
      <c r="N854" t="s">
        <v>155</v>
      </c>
      <c r="Q854" t="s">
        <v>155</v>
      </c>
      <c r="T854" t="s">
        <v>155</v>
      </c>
      <c r="W854" t="s">
        <v>155</v>
      </c>
      <c r="Z854" t="s">
        <v>155</v>
      </c>
      <c r="AC854" t="s">
        <v>155</v>
      </c>
      <c r="AF854" t="s">
        <v>155</v>
      </c>
      <c r="AJ854" s="16">
        <f>(2.46*1.44)</f>
        <v>3.5423999999999998</v>
      </c>
      <c r="AL854" t="s">
        <v>155</v>
      </c>
      <c r="AO854">
        <v>159</v>
      </c>
      <c r="AR854" t="s">
        <v>155</v>
      </c>
      <c r="AU854" t="s">
        <v>155</v>
      </c>
      <c r="AX854" t="s">
        <v>155</v>
      </c>
      <c r="BA854">
        <v>20.9</v>
      </c>
      <c r="BD854" t="s">
        <v>155</v>
      </c>
      <c r="BG854" t="s">
        <v>155</v>
      </c>
    </row>
  </sheetData>
  <sheetProtection sheet="1" objects="1" scenarios="1"/>
  <mergeCells count="18">
    <mergeCell ref="W1:Y1"/>
    <mergeCell ref="H1:J1"/>
    <mergeCell ref="K1:M1"/>
    <mergeCell ref="N1:P1"/>
    <mergeCell ref="Q1:S1"/>
    <mergeCell ref="T1:V1"/>
    <mergeCell ref="BG1:BI1"/>
    <mergeCell ref="Z1:AB1"/>
    <mergeCell ref="AC1:AE1"/>
    <mergeCell ref="AF1:AH1"/>
    <mergeCell ref="AI1:AK1"/>
    <mergeCell ref="AL1:AN1"/>
    <mergeCell ref="AO1:AQ1"/>
    <mergeCell ref="AR1:AT1"/>
    <mergeCell ref="AU1:AW1"/>
    <mergeCell ref="AX1:AZ1"/>
    <mergeCell ref="BA1:BC1"/>
    <mergeCell ref="BD1:BF1"/>
  </mergeCells>
  <pageMargins left="0.75" right="0.75" top="1" bottom="1" header="0.5" footer="0.5"/>
  <pageSetup paperSize="3" scale="26" fitToHeight="0" orientation="landscape"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pageSetUpPr fitToPage="1"/>
  </sheetPr>
  <dimension ref="A1:G1431"/>
  <sheetViews>
    <sheetView topLeftCell="A24" zoomScaleNormal="100" workbookViewId="0">
      <selection activeCell="B29" sqref="B29"/>
    </sheetView>
  </sheetViews>
  <sheetFormatPr baseColWidth="10" defaultColWidth="8.83203125" defaultRowHeight="15" x14ac:dyDescent="0.2"/>
  <cols>
    <col min="1" max="1" width="15.5" customWidth="1"/>
    <col min="2" max="2" width="33.5" customWidth="1"/>
    <col min="3" max="3" width="20.83203125" customWidth="1"/>
    <col min="4" max="4" width="18" customWidth="1"/>
    <col min="5" max="5" width="69.5" customWidth="1"/>
    <col min="6" max="6" width="19.1640625" customWidth="1"/>
    <col min="7" max="7" width="38.5" customWidth="1"/>
  </cols>
  <sheetData>
    <row r="1" spans="1:7" ht="16" thickBot="1" x14ac:dyDescent="0.25">
      <c r="A1" s="22" t="s">
        <v>144</v>
      </c>
      <c r="B1" s="23" t="s">
        <v>145</v>
      </c>
      <c r="C1" s="23" t="s">
        <v>1775</v>
      </c>
      <c r="D1" s="23" t="s">
        <v>89</v>
      </c>
      <c r="E1" s="23" t="s">
        <v>1776</v>
      </c>
      <c r="F1" s="28" t="s">
        <v>1777</v>
      </c>
      <c r="G1" s="28" t="s">
        <v>1778</v>
      </c>
    </row>
    <row r="2" spans="1:7" x14ac:dyDescent="0.2">
      <c r="A2" t="s">
        <v>1270</v>
      </c>
      <c r="B2" t="s">
        <v>1779</v>
      </c>
      <c r="C2" t="s">
        <v>1272</v>
      </c>
      <c r="D2" t="s">
        <v>74</v>
      </c>
      <c r="E2" t="s">
        <v>1780</v>
      </c>
      <c r="F2" t="s">
        <v>1781</v>
      </c>
    </row>
    <row r="3" spans="1:7" x14ac:dyDescent="0.2">
      <c r="D3" t="s">
        <v>79</v>
      </c>
      <c r="E3" t="s">
        <v>1780</v>
      </c>
      <c r="F3" t="s">
        <v>1781</v>
      </c>
    </row>
    <row r="4" spans="1:7" x14ac:dyDescent="0.2">
      <c r="D4" t="s">
        <v>84</v>
      </c>
      <c r="E4" s="24" t="s">
        <v>1782</v>
      </c>
      <c r="F4" t="s">
        <v>1781</v>
      </c>
    </row>
    <row r="5" spans="1:7" ht="16" thickBot="1" x14ac:dyDescent="0.25">
      <c r="A5" s="26"/>
      <c r="B5" s="26"/>
      <c r="C5" s="26"/>
      <c r="D5" s="26" t="s">
        <v>85</v>
      </c>
      <c r="E5" s="26" t="s">
        <v>1780</v>
      </c>
      <c r="F5" s="26" t="s">
        <v>1781</v>
      </c>
      <c r="G5" s="26"/>
    </row>
    <row r="6" spans="1:7" x14ac:dyDescent="0.2">
      <c r="A6" t="s">
        <v>1256</v>
      </c>
      <c r="B6" t="s">
        <v>1783</v>
      </c>
      <c r="C6" t="s">
        <v>1257</v>
      </c>
      <c r="D6" t="s">
        <v>80</v>
      </c>
      <c r="E6" t="s">
        <v>1784</v>
      </c>
      <c r="F6" t="s">
        <v>1785</v>
      </c>
    </row>
    <row r="7" spans="1:7" ht="16" thickBot="1" x14ac:dyDescent="0.25">
      <c r="A7" s="26"/>
      <c r="B7" s="26"/>
      <c r="C7" s="26" t="s">
        <v>1258</v>
      </c>
      <c r="D7" s="26" t="s">
        <v>80</v>
      </c>
      <c r="E7" s="26" t="s">
        <v>1784</v>
      </c>
      <c r="F7" s="26" t="s">
        <v>1785</v>
      </c>
      <c r="G7" s="26"/>
    </row>
    <row r="8" spans="1:7" x14ac:dyDescent="0.2">
      <c r="A8" t="s">
        <v>1248</v>
      </c>
      <c r="B8" t="s">
        <v>1249</v>
      </c>
      <c r="C8" t="s">
        <v>1250</v>
      </c>
      <c r="D8" t="s">
        <v>73</v>
      </c>
      <c r="E8" t="s">
        <v>1786</v>
      </c>
      <c r="F8" t="s">
        <v>1785</v>
      </c>
    </row>
    <row r="9" spans="1:7" x14ac:dyDescent="0.2">
      <c r="D9" t="s">
        <v>75</v>
      </c>
      <c r="E9" t="s">
        <v>1786</v>
      </c>
      <c r="F9" t="s">
        <v>1785</v>
      </c>
    </row>
    <row r="10" spans="1:7" x14ac:dyDescent="0.2">
      <c r="D10" t="s">
        <v>86</v>
      </c>
      <c r="E10" t="s">
        <v>1784</v>
      </c>
      <c r="F10" t="s">
        <v>1785</v>
      </c>
    </row>
    <row r="11" spans="1:7" ht="16" thickBot="1" x14ac:dyDescent="0.25">
      <c r="A11" s="26"/>
      <c r="B11" s="26"/>
      <c r="C11" s="26"/>
      <c r="D11" s="26" t="s">
        <v>88</v>
      </c>
      <c r="E11" s="26" t="s">
        <v>1786</v>
      </c>
      <c r="F11" s="26" t="s">
        <v>1785</v>
      </c>
      <c r="G11" s="26"/>
    </row>
    <row r="12" spans="1:7" x14ac:dyDescent="0.2">
      <c r="A12" t="s">
        <v>1243</v>
      </c>
      <c r="B12" t="s">
        <v>1787</v>
      </c>
      <c r="C12" t="s">
        <v>1245</v>
      </c>
      <c r="D12" t="s">
        <v>74</v>
      </c>
      <c r="E12" t="s">
        <v>1784</v>
      </c>
      <c r="F12" t="s">
        <v>1785</v>
      </c>
    </row>
    <row r="13" spans="1:7" x14ac:dyDescent="0.2">
      <c r="D13" t="s">
        <v>77</v>
      </c>
      <c r="E13" t="s">
        <v>1784</v>
      </c>
      <c r="F13" t="s">
        <v>1785</v>
      </c>
    </row>
    <row r="14" spans="1:7" x14ac:dyDescent="0.2">
      <c r="D14" t="s">
        <v>82</v>
      </c>
      <c r="E14" t="s">
        <v>1784</v>
      </c>
      <c r="F14" t="s">
        <v>1785</v>
      </c>
    </row>
    <row r="15" spans="1:7" x14ac:dyDescent="0.2">
      <c r="C15" t="s">
        <v>1246</v>
      </c>
      <c r="D15" t="s">
        <v>74</v>
      </c>
      <c r="E15" t="s">
        <v>1784</v>
      </c>
      <c r="F15" t="s">
        <v>1785</v>
      </c>
    </row>
    <row r="16" spans="1:7" x14ac:dyDescent="0.2">
      <c r="D16" t="s">
        <v>77</v>
      </c>
      <c r="E16" t="s">
        <v>1784</v>
      </c>
      <c r="F16" t="s">
        <v>1785</v>
      </c>
    </row>
    <row r="17" spans="1:7" x14ac:dyDescent="0.2">
      <c r="D17" t="s">
        <v>82</v>
      </c>
      <c r="E17" t="s">
        <v>1784</v>
      </c>
      <c r="F17" t="s">
        <v>1785</v>
      </c>
    </row>
    <row r="18" spans="1:7" x14ac:dyDescent="0.2">
      <c r="C18" t="s">
        <v>1247</v>
      </c>
      <c r="D18" t="s">
        <v>74</v>
      </c>
      <c r="E18" t="s">
        <v>1784</v>
      </c>
      <c r="F18" t="s">
        <v>1785</v>
      </c>
    </row>
    <row r="19" spans="1:7" x14ac:dyDescent="0.2">
      <c r="D19" t="s">
        <v>77</v>
      </c>
      <c r="E19" t="s">
        <v>1784</v>
      </c>
      <c r="F19" t="s">
        <v>1785</v>
      </c>
    </row>
    <row r="20" spans="1:7" ht="16" thickBot="1" x14ac:dyDescent="0.25">
      <c r="A20" s="26"/>
      <c r="B20" s="26"/>
      <c r="C20" s="26"/>
      <c r="D20" s="26" t="s">
        <v>1788</v>
      </c>
      <c r="E20" s="26" t="s">
        <v>1784</v>
      </c>
      <c r="F20" s="26" t="s">
        <v>1785</v>
      </c>
      <c r="G20" s="26"/>
    </row>
    <row r="21" spans="1:7" ht="16" x14ac:dyDescent="0.2">
      <c r="A21" s="27" t="s">
        <v>1231</v>
      </c>
      <c r="B21" t="s">
        <v>1232</v>
      </c>
      <c r="C21" t="s">
        <v>1234</v>
      </c>
      <c r="D21" t="s">
        <v>73</v>
      </c>
      <c r="E21" t="s">
        <v>1784</v>
      </c>
      <c r="F21" t="s">
        <v>1785</v>
      </c>
    </row>
    <row r="22" spans="1:7" x14ac:dyDescent="0.2">
      <c r="A22" s="25"/>
      <c r="D22" t="s">
        <v>77</v>
      </c>
      <c r="E22" t="s">
        <v>1786</v>
      </c>
      <c r="F22" t="s">
        <v>1785</v>
      </c>
    </row>
    <row r="23" spans="1:7" x14ac:dyDescent="0.2">
      <c r="D23" t="s">
        <v>78</v>
      </c>
      <c r="E23" t="s">
        <v>1786</v>
      </c>
      <c r="F23" t="s">
        <v>1785</v>
      </c>
    </row>
    <row r="24" spans="1:7" x14ac:dyDescent="0.2">
      <c r="D24" t="s">
        <v>12</v>
      </c>
      <c r="E24" t="s">
        <v>1784</v>
      </c>
      <c r="F24" t="s">
        <v>1785</v>
      </c>
    </row>
    <row r="25" spans="1:7" ht="16" thickBot="1" x14ac:dyDescent="0.25">
      <c r="A25" s="26"/>
      <c r="B25" s="26"/>
      <c r="C25" s="26"/>
      <c r="D25" s="26" t="s">
        <v>88</v>
      </c>
      <c r="E25" s="26" t="s">
        <v>1789</v>
      </c>
      <c r="F25" s="26" t="s">
        <v>1790</v>
      </c>
      <c r="G25" s="26"/>
    </row>
    <row r="26" spans="1:7" ht="16" x14ac:dyDescent="0.2">
      <c r="A26" s="27" t="s">
        <v>1215</v>
      </c>
      <c r="B26" t="s">
        <v>1216</v>
      </c>
      <c r="C26" t="s">
        <v>1217</v>
      </c>
      <c r="D26" t="s">
        <v>73</v>
      </c>
      <c r="E26" t="s">
        <v>1784</v>
      </c>
      <c r="F26" t="s">
        <v>1785</v>
      </c>
    </row>
    <row r="27" spans="1:7" x14ac:dyDescent="0.2">
      <c r="A27" s="25"/>
      <c r="D27" t="s">
        <v>86</v>
      </c>
      <c r="E27" t="s">
        <v>1784</v>
      </c>
      <c r="F27" t="s">
        <v>1785</v>
      </c>
    </row>
    <row r="28" spans="1:7" ht="16" thickBot="1" x14ac:dyDescent="0.25">
      <c r="A28" s="26"/>
      <c r="B28" s="26"/>
      <c r="C28" s="26" t="s">
        <v>1218</v>
      </c>
      <c r="D28" s="26" t="s">
        <v>86</v>
      </c>
      <c r="E28" s="26" t="s">
        <v>1784</v>
      </c>
      <c r="F28" s="26" t="s">
        <v>1785</v>
      </c>
      <c r="G28" s="26"/>
    </row>
    <row r="29" spans="1:7" ht="16" x14ac:dyDescent="0.2">
      <c r="A29" s="27" t="s">
        <v>1195</v>
      </c>
      <c r="B29" t="s">
        <v>1196</v>
      </c>
      <c r="C29" t="s">
        <v>1199</v>
      </c>
      <c r="D29" t="s">
        <v>72</v>
      </c>
      <c r="E29" t="s">
        <v>1791</v>
      </c>
      <c r="F29" t="s">
        <v>1792</v>
      </c>
    </row>
    <row r="30" spans="1:7" x14ac:dyDescent="0.2">
      <c r="A30" s="25"/>
      <c r="D30" t="s">
        <v>76</v>
      </c>
      <c r="E30" t="s">
        <v>1793</v>
      </c>
      <c r="F30" t="s">
        <v>1792</v>
      </c>
    </row>
    <row r="31" spans="1:7" x14ac:dyDescent="0.2">
      <c r="A31" s="25"/>
      <c r="D31" t="s">
        <v>77</v>
      </c>
      <c r="E31" t="s">
        <v>1794</v>
      </c>
      <c r="F31" t="s">
        <v>1795</v>
      </c>
    </row>
    <row r="32" spans="1:7" x14ac:dyDescent="0.2">
      <c r="A32" s="25"/>
      <c r="D32" t="s">
        <v>12</v>
      </c>
      <c r="E32" t="s">
        <v>1796</v>
      </c>
      <c r="F32" t="s">
        <v>1797</v>
      </c>
    </row>
    <row r="33" spans="1:7" x14ac:dyDescent="0.2">
      <c r="A33" s="25"/>
      <c r="D33" t="s">
        <v>81</v>
      </c>
      <c r="E33" t="s">
        <v>1798</v>
      </c>
      <c r="F33" t="s">
        <v>1792</v>
      </c>
    </row>
    <row r="34" spans="1:7" x14ac:dyDescent="0.2">
      <c r="A34" s="25"/>
      <c r="D34" t="s">
        <v>86</v>
      </c>
      <c r="E34" t="s">
        <v>1799</v>
      </c>
      <c r="F34" t="s">
        <v>1785</v>
      </c>
    </row>
    <row r="35" spans="1:7" x14ac:dyDescent="0.2">
      <c r="C35" t="s">
        <v>1200</v>
      </c>
      <c r="D35" t="s">
        <v>72</v>
      </c>
      <c r="E35" t="s">
        <v>1791</v>
      </c>
      <c r="F35" t="s">
        <v>1792</v>
      </c>
    </row>
    <row r="36" spans="1:7" x14ac:dyDescent="0.2">
      <c r="D36" t="s">
        <v>76</v>
      </c>
      <c r="E36" t="s">
        <v>1793</v>
      </c>
      <c r="F36" t="s">
        <v>1792</v>
      </c>
    </row>
    <row r="37" spans="1:7" x14ac:dyDescent="0.2">
      <c r="D37" t="s">
        <v>12</v>
      </c>
      <c r="E37" t="s">
        <v>1796</v>
      </c>
      <c r="F37" t="s">
        <v>1797</v>
      </c>
    </row>
    <row r="38" spans="1:7" x14ac:dyDescent="0.2">
      <c r="D38" t="s">
        <v>81</v>
      </c>
      <c r="E38" t="s">
        <v>1798</v>
      </c>
      <c r="F38" t="s">
        <v>1792</v>
      </c>
    </row>
    <row r="39" spans="1:7" x14ac:dyDescent="0.2">
      <c r="D39" t="s">
        <v>86</v>
      </c>
      <c r="E39" t="s">
        <v>1799</v>
      </c>
      <c r="F39" t="s">
        <v>1785</v>
      </c>
    </row>
    <row r="40" spans="1:7" x14ac:dyDescent="0.2">
      <c r="C40" t="s">
        <v>1201</v>
      </c>
      <c r="D40" t="s">
        <v>72</v>
      </c>
      <c r="E40" t="s">
        <v>1791</v>
      </c>
      <c r="F40" t="s">
        <v>1792</v>
      </c>
    </row>
    <row r="41" spans="1:7" x14ac:dyDescent="0.2">
      <c r="D41" t="s">
        <v>76</v>
      </c>
      <c r="E41" t="s">
        <v>1793</v>
      </c>
      <c r="F41" t="s">
        <v>1792</v>
      </c>
    </row>
    <row r="42" spans="1:7" x14ac:dyDescent="0.2">
      <c r="D42" t="s">
        <v>78</v>
      </c>
      <c r="E42" t="s">
        <v>1794</v>
      </c>
      <c r="F42" t="s">
        <v>1795</v>
      </c>
    </row>
    <row r="43" spans="1:7" x14ac:dyDescent="0.2">
      <c r="D43" t="s">
        <v>12</v>
      </c>
      <c r="E43" t="s">
        <v>1796</v>
      </c>
      <c r="F43" t="s">
        <v>1797</v>
      </c>
    </row>
    <row r="44" spans="1:7" x14ac:dyDescent="0.2">
      <c r="D44" t="s">
        <v>81</v>
      </c>
      <c r="E44" t="s">
        <v>1798</v>
      </c>
      <c r="F44" t="s">
        <v>1792</v>
      </c>
    </row>
    <row r="45" spans="1:7" x14ac:dyDescent="0.2">
      <c r="D45" t="s">
        <v>86</v>
      </c>
      <c r="E45" t="s">
        <v>1799</v>
      </c>
      <c r="F45" t="s">
        <v>1785</v>
      </c>
    </row>
    <row r="46" spans="1:7" x14ac:dyDescent="0.2">
      <c r="C46" t="s">
        <v>1202</v>
      </c>
      <c r="D46" t="s">
        <v>72</v>
      </c>
      <c r="E46" t="s">
        <v>1800</v>
      </c>
      <c r="F46" t="s">
        <v>1792</v>
      </c>
      <c r="G46" t="s">
        <v>174</v>
      </c>
    </row>
    <row r="47" spans="1:7" x14ac:dyDescent="0.2">
      <c r="D47" t="s">
        <v>76</v>
      </c>
      <c r="E47" t="s">
        <v>1801</v>
      </c>
      <c r="F47" t="s">
        <v>1802</v>
      </c>
    </row>
    <row r="48" spans="1:7" x14ac:dyDescent="0.2">
      <c r="D48" t="s">
        <v>12</v>
      </c>
      <c r="E48" t="s">
        <v>1803</v>
      </c>
      <c r="F48" t="s">
        <v>1785</v>
      </c>
    </row>
    <row r="49" spans="1:7" x14ac:dyDescent="0.2">
      <c r="D49" t="s">
        <v>86</v>
      </c>
      <c r="E49" t="s">
        <v>1794</v>
      </c>
      <c r="F49" t="s">
        <v>1795</v>
      </c>
    </row>
    <row r="50" spans="1:7" x14ac:dyDescent="0.2">
      <c r="C50" t="s">
        <v>1203</v>
      </c>
      <c r="D50" t="s">
        <v>72</v>
      </c>
      <c r="E50" t="s">
        <v>1800</v>
      </c>
      <c r="F50" t="s">
        <v>1792</v>
      </c>
    </row>
    <row r="51" spans="1:7" x14ac:dyDescent="0.2">
      <c r="D51" t="s">
        <v>77</v>
      </c>
      <c r="E51" t="s">
        <v>1794</v>
      </c>
      <c r="F51" t="s">
        <v>1795</v>
      </c>
    </row>
    <row r="52" spans="1:7" x14ac:dyDescent="0.2">
      <c r="D52" t="s">
        <v>12</v>
      </c>
      <c r="E52" t="s">
        <v>1803</v>
      </c>
      <c r="F52" t="s">
        <v>1785</v>
      </c>
    </row>
    <row r="53" spans="1:7" ht="16" thickBot="1" x14ac:dyDescent="0.25">
      <c r="A53" s="26"/>
      <c r="B53" s="26"/>
      <c r="C53" s="26"/>
      <c r="D53" s="26" t="s">
        <v>86</v>
      </c>
      <c r="E53" s="26" t="s">
        <v>1794</v>
      </c>
      <c r="F53" s="26" t="s">
        <v>1795</v>
      </c>
      <c r="G53" s="26"/>
    </row>
    <row r="54" spans="1:7" x14ac:dyDescent="0.2">
      <c r="A54" t="s">
        <v>1193</v>
      </c>
      <c r="B54" t="s">
        <v>1194</v>
      </c>
      <c r="C54" t="s">
        <v>999</v>
      </c>
      <c r="D54" t="s">
        <v>72</v>
      </c>
      <c r="E54" t="s">
        <v>1784</v>
      </c>
      <c r="F54" t="s">
        <v>1785</v>
      </c>
    </row>
    <row r="55" spans="1:7" x14ac:dyDescent="0.2">
      <c r="D55" t="s">
        <v>75</v>
      </c>
      <c r="E55" t="s">
        <v>1786</v>
      </c>
      <c r="F55" t="s">
        <v>1785</v>
      </c>
    </row>
    <row r="56" spans="1:7" x14ac:dyDescent="0.2">
      <c r="D56" t="s">
        <v>77</v>
      </c>
      <c r="E56" t="s">
        <v>1784</v>
      </c>
      <c r="F56" t="s">
        <v>1785</v>
      </c>
    </row>
    <row r="57" spans="1:7" x14ac:dyDescent="0.2">
      <c r="D57" t="s">
        <v>78</v>
      </c>
      <c r="E57" t="s">
        <v>1786</v>
      </c>
      <c r="F57" t="s">
        <v>1785</v>
      </c>
    </row>
    <row r="58" spans="1:7" x14ac:dyDescent="0.2">
      <c r="D58" t="s">
        <v>80</v>
      </c>
      <c r="E58" t="s">
        <v>1784</v>
      </c>
      <c r="F58" t="s">
        <v>1785</v>
      </c>
    </row>
    <row r="59" spans="1:7" x14ac:dyDescent="0.2">
      <c r="D59" t="s">
        <v>12</v>
      </c>
      <c r="E59" t="s">
        <v>1784</v>
      </c>
      <c r="F59" t="s">
        <v>1785</v>
      </c>
    </row>
    <row r="60" spans="1:7" x14ac:dyDescent="0.2">
      <c r="D60" t="s">
        <v>82</v>
      </c>
      <c r="E60" t="s">
        <v>1784</v>
      </c>
      <c r="F60" t="s">
        <v>1785</v>
      </c>
    </row>
    <row r="61" spans="1:7" ht="16" thickBot="1" x14ac:dyDescent="0.25">
      <c r="A61" s="26"/>
      <c r="B61" s="26"/>
      <c r="C61" s="26"/>
      <c r="D61" s="26" t="s">
        <v>86</v>
      </c>
      <c r="E61" s="26" t="s">
        <v>1784</v>
      </c>
      <c r="F61" s="26" t="s">
        <v>1785</v>
      </c>
      <c r="G61" s="26"/>
    </row>
    <row r="62" spans="1:7" x14ac:dyDescent="0.2">
      <c r="A62" t="s">
        <v>1172</v>
      </c>
      <c r="B62" t="s">
        <v>1173</v>
      </c>
      <c r="C62" t="s">
        <v>1174</v>
      </c>
      <c r="D62" t="s">
        <v>88</v>
      </c>
      <c r="E62" t="s">
        <v>1804</v>
      </c>
      <c r="F62" t="s">
        <v>1781</v>
      </c>
    </row>
    <row r="63" spans="1:7" ht="16" thickBot="1" x14ac:dyDescent="0.25">
      <c r="A63" s="26"/>
      <c r="B63" s="26"/>
      <c r="C63" s="26" t="s">
        <v>1177</v>
      </c>
      <c r="D63" s="26" t="s">
        <v>73</v>
      </c>
      <c r="E63" s="26" t="s">
        <v>1805</v>
      </c>
      <c r="F63" s="26" t="s">
        <v>1785</v>
      </c>
      <c r="G63" s="26"/>
    </row>
    <row r="64" spans="1:7" x14ac:dyDescent="0.2">
      <c r="A64" t="s">
        <v>1162</v>
      </c>
      <c r="B64" t="s">
        <v>1163</v>
      </c>
      <c r="C64" t="s">
        <v>1165</v>
      </c>
      <c r="D64" t="s">
        <v>83</v>
      </c>
      <c r="E64" t="s">
        <v>1784</v>
      </c>
      <c r="F64" t="s">
        <v>1785</v>
      </c>
    </row>
    <row r="65" spans="1:7" x14ac:dyDescent="0.2">
      <c r="C65" t="s">
        <v>672</v>
      </c>
      <c r="D65" t="s">
        <v>73</v>
      </c>
      <c r="E65" t="s">
        <v>1784</v>
      </c>
      <c r="F65" t="s">
        <v>1785</v>
      </c>
    </row>
    <row r="66" spans="1:7" ht="16" thickBot="1" x14ac:dyDescent="0.25">
      <c r="A66" s="26"/>
      <c r="B66" s="26"/>
      <c r="C66" s="26"/>
      <c r="D66" s="26" t="s">
        <v>12</v>
      </c>
      <c r="E66" s="26" t="s">
        <v>1786</v>
      </c>
      <c r="F66" s="26" t="s">
        <v>1785</v>
      </c>
      <c r="G66" s="26"/>
    </row>
    <row r="67" spans="1:7" ht="16" x14ac:dyDescent="0.2">
      <c r="A67" s="15" t="s">
        <v>1152</v>
      </c>
      <c r="B67" t="s">
        <v>1153</v>
      </c>
      <c r="C67" t="s">
        <v>1151</v>
      </c>
      <c r="D67" t="s">
        <v>76</v>
      </c>
      <c r="E67" t="s">
        <v>1784</v>
      </c>
      <c r="F67" t="s">
        <v>1785</v>
      </c>
    </row>
    <row r="68" spans="1:7" x14ac:dyDescent="0.2">
      <c r="C68" t="s">
        <v>1150</v>
      </c>
      <c r="D68" t="s">
        <v>73</v>
      </c>
      <c r="E68" t="s">
        <v>1784</v>
      </c>
      <c r="F68" t="s">
        <v>1785</v>
      </c>
    </row>
    <row r="69" spans="1:7" ht="16" thickBot="1" x14ac:dyDescent="0.25">
      <c r="A69" s="26"/>
      <c r="B69" s="26"/>
      <c r="C69" s="26"/>
      <c r="D69" s="26" t="s">
        <v>76</v>
      </c>
      <c r="E69" s="26" t="s">
        <v>1784</v>
      </c>
      <c r="F69" s="26" t="s">
        <v>1785</v>
      </c>
      <c r="G69" s="26"/>
    </row>
    <row r="70" spans="1:7" ht="16" x14ac:dyDescent="0.2">
      <c r="A70" s="15" t="s">
        <v>1147</v>
      </c>
      <c r="B70" t="s">
        <v>1148</v>
      </c>
      <c r="C70" t="s">
        <v>1149</v>
      </c>
      <c r="D70" t="s">
        <v>77</v>
      </c>
      <c r="E70" t="s">
        <v>1784</v>
      </c>
      <c r="F70" t="s">
        <v>1785</v>
      </c>
    </row>
    <row r="71" spans="1:7" x14ac:dyDescent="0.2">
      <c r="D71" t="s">
        <v>82</v>
      </c>
      <c r="E71" t="s">
        <v>1784</v>
      </c>
      <c r="F71" t="s">
        <v>1785</v>
      </c>
    </row>
    <row r="72" spans="1:7" x14ac:dyDescent="0.2">
      <c r="A72" t="s">
        <v>1806</v>
      </c>
      <c r="C72" t="s">
        <v>1150</v>
      </c>
      <c r="D72" t="s">
        <v>77</v>
      </c>
      <c r="E72" t="s">
        <v>1784</v>
      </c>
      <c r="F72" t="s">
        <v>1785</v>
      </c>
    </row>
    <row r="73" spans="1:7" x14ac:dyDescent="0.2">
      <c r="D73" t="s">
        <v>82</v>
      </c>
      <c r="E73" t="s">
        <v>1784</v>
      </c>
      <c r="F73" t="s">
        <v>1785</v>
      </c>
    </row>
    <row r="74" spans="1:7" x14ac:dyDescent="0.2">
      <c r="C74" t="s">
        <v>1151</v>
      </c>
      <c r="D74" t="s">
        <v>77</v>
      </c>
      <c r="E74" t="s">
        <v>1784</v>
      </c>
      <c r="F74" t="s">
        <v>1785</v>
      </c>
    </row>
    <row r="75" spans="1:7" ht="16" thickBot="1" x14ac:dyDescent="0.25">
      <c r="A75" s="26"/>
      <c r="B75" s="26"/>
      <c r="C75" s="26"/>
      <c r="D75" s="26" t="s">
        <v>82</v>
      </c>
      <c r="E75" s="26" t="s">
        <v>1784</v>
      </c>
      <c r="F75" s="26" t="s">
        <v>1785</v>
      </c>
      <c r="G75" s="26"/>
    </row>
    <row r="76" spans="1:7" x14ac:dyDescent="0.2">
      <c r="A76" t="s">
        <v>1143</v>
      </c>
      <c r="B76" t="s">
        <v>1144</v>
      </c>
      <c r="C76" t="s">
        <v>1145</v>
      </c>
      <c r="D76" t="s">
        <v>74</v>
      </c>
      <c r="E76" t="s">
        <v>1784</v>
      </c>
      <c r="F76" t="s">
        <v>1785</v>
      </c>
    </row>
    <row r="77" spans="1:7" x14ac:dyDescent="0.2">
      <c r="D77" t="s">
        <v>77</v>
      </c>
      <c r="E77" t="s">
        <v>1784</v>
      </c>
      <c r="F77" t="s">
        <v>1785</v>
      </c>
    </row>
    <row r="78" spans="1:7" x14ac:dyDescent="0.2">
      <c r="D78" t="s">
        <v>81</v>
      </c>
      <c r="E78" t="s">
        <v>1784</v>
      </c>
      <c r="F78" t="s">
        <v>1785</v>
      </c>
    </row>
    <row r="79" spans="1:7" x14ac:dyDescent="0.2">
      <c r="D79" t="s">
        <v>82</v>
      </c>
      <c r="E79" t="s">
        <v>1784</v>
      </c>
      <c r="F79" t="s">
        <v>1785</v>
      </c>
    </row>
    <row r="80" spans="1:7" x14ac:dyDescent="0.2">
      <c r="D80" t="s">
        <v>84</v>
      </c>
      <c r="E80" t="s">
        <v>1784</v>
      </c>
      <c r="F80" t="s">
        <v>1785</v>
      </c>
    </row>
    <row r="81" spans="3:6" x14ac:dyDescent="0.2">
      <c r="D81" t="s">
        <v>86</v>
      </c>
      <c r="E81" t="s">
        <v>1784</v>
      </c>
      <c r="F81" t="s">
        <v>1785</v>
      </c>
    </row>
    <row r="82" spans="3:6" x14ac:dyDescent="0.2">
      <c r="D82" t="s">
        <v>87</v>
      </c>
      <c r="E82" t="s">
        <v>1784</v>
      </c>
      <c r="F82" t="s">
        <v>1785</v>
      </c>
    </row>
    <row r="83" spans="3:6" x14ac:dyDescent="0.2">
      <c r="C83" t="s">
        <v>1146</v>
      </c>
      <c r="D83" t="s">
        <v>74</v>
      </c>
      <c r="E83" t="s">
        <v>1784</v>
      </c>
      <c r="F83" t="s">
        <v>1785</v>
      </c>
    </row>
    <row r="84" spans="3:6" x14ac:dyDescent="0.2">
      <c r="D84" t="s">
        <v>77</v>
      </c>
      <c r="E84" t="s">
        <v>1784</v>
      </c>
      <c r="F84" t="s">
        <v>1785</v>
      </c>
    </row>
    <row r="85" spans="3:6" x14ac:dyDescent="0.2">
      <c r="D85" t="s">
        <v>79</v>
      </c>
      <c r="E85" t="s">
        <v>1784</v>
      </c>
      <c r="F85" t="s">
        <v>1785</v>
      </c>
    </row>
    <row r="86" spans="3:6" x14ac:dyDescent="0.2">
      <c r="D86" t="s">
        <v>81</v>
      </c>
      <c r="E86" t="s">
        <v>1784</v>
      </c>
      <c r="F86" t="s">
        <v>1785</v>
      </c>
    </row>
    <row r="87" spans="3:6" x14ac:dyDescent="0.2">
      <c r="D87" t="s">
        <v>82</v>
      </c>
      <c r="E87" t="s">
        <v>1784</v>
      </c>
      <c r="F87" t="s">
        <v>1785</v>
      </c>
    </row>
    <row r="88" spans="3:6" x14ac:dyDescent="0.2">
      <c r="D88" t="s">
        <v>84</v>
      </c>
      <c r="E88" t="s">
        <v>1784</v>
      </c>
      <c r="F88" t="s">
        <v>1785</v>
      </c>
    </row>
    <row r="89" spans="3:6" x14ac:dyDescent="0.2">
      <c r="D89" t="s">
        <v>86</v>
      </c>
      <c r="E89" t="s">
        <v>1784</v>
      </c>
      <c r="F89" t="s">
        <v>1785</v>
      </c>
    </row>
    <row r="90" spans="3:6" x14ac:dyDescent="0.2">
      <c r="D90" t="s">
        <v>87</v>
      </c>
      <c r="E90" t="s">
        <v>1784</v>
      </c>
      <c r="F90" t="s">
        <v>1785</v>
      </c>
    </row>
    <row r="91" spans="3:6" x14ac:dyDescent="0.2">
      <c r="C91" t="s">
        <v>644</v>
      </c>
      <c r="D91" t="s">
        <v>74</v>
      </c>
      <c r="E91" t="s">
        <v>1784</v>
      </c>
      <c r="F91" t="s">
        <v>1785</v>
      </c>
    </row>
    <row r="92" spans="3:6" x14ac:dyDescent="0.2">
      <c r="D92" t="s">
        <v>77</v>
      </c>
      <c r="E92" t="s">
        <v>1784</v>
      </c>
      <c r="F92" t="s">
        <v>1785</v>
      </c>
    </row>
    <row r="93" spans="3:6" x14ac:dyDescent="0.2">
      <c r="D93" t="s">
        <v>81</v>
      </c>
      <c r="E93" t="s">
        <v>1784</v>
      </c>
      <c r="F93" t="s">
        <v>1785</v>
      </c>
    </row>
    <row r="94" spans="3:6" x14ac:dyDescent="0.2">
      <c r="D94" t="s">
        <v>82</v>
      </c>
      <c r="E94" t="s">
        <v>1784</v>
      </c>
      <c r="F94" t="s">
        <v>1785</v>
      </c>
    </row>
    <row r="95" spans="3:6" x14ac:dyDescent="0.2">
      <c r="D95" t="s">
        <v>84</v>
      </c>
      <c r="E95" t="s">
        <v>1784</v>
      </c>
      <c r="F95" t="s">
        <v>1785</v>
      </c>
    </row>
    <row r="96" spans="3:6" x14ac:dyDescent="0.2">
      <c r="D96" t="s">
        <v>86</v>
      </c>
      <c r="E96" t="s">
        <v>1784</v>
      </c>
      <c r="F96" t="s">
        <v>1785</v>
      </c>
    </row>
    <row r="97" spans="1:7" ht="16" thickBot="1" x14ac:dyDescent="0.25">
      <c r="A97" s="26"/>
      <c r="B97" s="26"/>
      <c r="C97" s="26"/>
      <c r="D97" s="26" t="s">
        <v>87</v>
      </c>
      <c r="E97" s="26" t="s">
        <v>1784</v>
      </c>
      <c r="F97" s="26" t="s">
        <v>1785</v>
      </c>
      <c r="G97" s="26"/>
    </row>
    <row r="98" spans="1:7" x14ac:dyDescent="0.2">
      <c r="A98" t="s">
        <v>1130</v>
      </c>
      <c r="B98" t="s">
        <v>1131</v>
      </c>
      <c r="C98" t="s">
        <v>1132</v>
      </c>
      <c r="D98" t="s">
        <v>77</v>
      </c>
      <c r="E98" t="s">
        <v>1784</v>
      </c>
      <c r="F98" t="s">
        <v>1785</v>
      </c>
    </row>
    <row r="99" spans="1:7" x14ac:dyDescent="0.2">
      <c r="D99" t="s">
        <v>80</v>
      </c>
      <c r="E99" t="s">
        <v>1784</v>
      </c>
      <c r="F99" t="s">
        <v>1785</v>
      </c>
    </row>
    <row r="100" spans="1:7" x14ac:dyDescent="0.2">
      <c r="C100" t="s">
        <v>1133</v>
      </c>
      <c r="D100" t="s">
        <v>77</v>
      </c>
      <c r="E100" t="s">
        <v>1784</v>
      </c>
      <c r="F100" t="s">
        <v>1785</v>
      </c>
    </row>
    <row r="101" spans="1:7" x14ac:dyDescent="0.2">
      <c r="D101" t="s">
        <v>80</v>
      </c>
      <c r="E101" t="s">
        <v>1784</v>
      </c>
      <c r="F101" t="s">
        <v>1785</v>
      </c>
    </row>
    <row r="102" spans="1:7" ht="16" thickBot="1" x14ac:dyDescent="0.25">
      <c r="A102" s="26"/>
      <c r="B102" s="26"/>
      <c r="C102" s="26"/>
      <c r="D102" s="26" t="s">
        <v>12</v>
      </c>
      <c r="E102" s="26" t="s">
        <v>1784</v>
      </c>
      <c r="F102" s="26" t="s">
        <v>1785</v>
      </c>
      <c r="G102" s="26"/>
    </row>
    <row r="103" spans="1:7" x14ac:dyDescent="0.2">
      <c r="A103" t="s">
        <v>1127</v>
      </c>
      <c r="B103" t="s">
        <v>1128</v>
      </c>
      <c r="C103" t="s">
        <v>1129</v>
      </c>
      <c r="D103" t="s">
        <v>76</v>
      </c>
      <c r="E103" t="s">
        <v>1807</v>
      </c>
      <c r="F103" t="s">
        <v>1785</v>
      </c>
    </row>
    <row r="104" spans="1:7" x14ac:dyDescent="0.2">
      <c r="D104" t="s">
        <v>78</v>
      </c>
      <c r="E104" t="s">
        <v>1808</v>
      </c>
      <c r="F104" t="s">
        <v>1802</v>
      </c>
    </row>
    <row r="105" spans="1:7" x14ac:dyDescent="0.2">
      <c r="D105" t="s">
        <v>79</v>
      </c>
      <c r="E105" t="s">
        <v>1809</v>
      </c>
      <c r="F105" t="s">
        <v>1802</v>
      </c>
    </row>
    <row r="106" spans="1:7" x14ac:dyDescent="0.2">
      <c r="D106" t="s">
        <v>80</v>
      </c>
      <c r="E106" t="s">
        <v>1809</v>
      </c>
      <c r="F106" t="s">
        <v>1802</v>
      </c>
    </row>
    <row r="107" spans="1:7" x14ac:dyDescent="0.2">
      <c r="D107" t="s">
        <v>12</v>
      </c>
      <c r="E107" t="s">
        <v>1810</v>
      </c>
      <c r="F107" t="s">
        <v>1802</v>
      </c>
    </row>
    <row r="108" spans="1:7" x14ac:dyDescent="0.2">
      <c r="D108" t="s">
        <v>82</v>
      </c>
      <c r="E108" t="s">
        <v>1811</v>
      </c>
      <c r="F108" t="s">
        <v>1802</v>
      </c>
    </row>
    <row r="109" spans="1:7" x14ac:dyDescent="0.2">
      <c r="D109" t="s">
        <v>83</v>
      </c>
      <c r="E109" t="s">
        <v>1809</v>
      </c>
      <c r="F109" t="s">
        <v>1802</v>
      </c>
    </row>
    <row r="110" spans="1:7" x14ac:dyDescent="0.2">
      <c r="D110" t="s">
        <v>85</v>
      </c>
      <c r="E110" t="s">
        <v>1807</v>
      </c>
      <c r="F110" t="s">
        <v>1785</v>
      </c>
    </row>
    <row r="111" spans="1:7" x14ac:dyDescent="0.2">
      <c r="D111" t="s">
        <v>86</v>
      </c>
      <c r="E111" t="s">
        <v>1809</v>
      </c>
      <c r="F111" t="s">
        <v>1802</v>
      </c>
    </row>
    <row r="112" spans="1:7" ht="16" thickBot="1" x14ac:dyDescent="0.25">
      <c r="A112" s="26"/>
      <c r="B112" s="26"/>
      <c r="C112" s="26"/>
      <c r="D112" s="26" t="s">
        <v>87</v>
      </c>
      <c r="E112" s="26" t="s">
        <v>1809</v>
      </c>
      <c r="F112" s="26" t="s">
        <v>1802</v>
      </c>
      <c r="G112" s="26"/>
    </row>
    <row r="113" spans="1:7" x14ac:dyDescent="0.2">
      <c r="A113" t="s">
        <v>1273</v>
      </c>
      <c r="B113" t="s">
        <v>1812</v>
      </c>
      <c r="C113" t="s">
        <v>1275</v>
      </c>
      <c r="D113" t="s">
        <v>72</v>
      </c>
      <c r="E113" t="s">
        <v>1813</v>
      </c>
      <c r="F113" t="s">
        <v>1785</v>
      </c>
    </row>
    <row r="114" spans="1:7" x14ac:dyDescent="0.2">
      <c r="D114" t="s">
        <v>77</v>
      </c>
      <c r="E114" t="s">
        <v>1813</v>
      </c>
      <c r="F114" t="s">
        <v>1785</v>
      </c>
    </row>
    <row r="115" spans="1:7" x14ac:dyDescent="0.2">
      <c r="D115" t="s">
        <v>80</v>
      </c>
      <c r="E115" t="s">
        <v>1813</v>
      </c>
      <c r="F115" t="s">
        <v>1785</v>
      </c>
    </row>
    <row r="116" spans="1:7" x14ac:dyDescent="0.2">
      <c r="C116" t="s">
        <v>1276</v>
      </c>
      <c r="D116" t="s">
        <v>72</v>
      </c>
      <c r="E116" t="s">
        <v>1813</v>
      </c>
      <c r="F116" t="s">
        <v>1785</v>
      </c>
    </row>
    <row r="117" spans="1:7" x14ac:dyDescent="0.2">
      <c r="D117" t="s">
        <v>77</v>
      </c>
      <c r="E117" t="s">
        <v>1813</v>
      </c>
      <c r="F117" t="s">
        <v>1785</v>
      </c>
    </row>
    <row r="118" spans="1:7" x14ac:dyDescent="0.2">
      <c r="D118" t="s">
        <v>79</v>
      </c>
      <c r="E118" t="s">
        <v>1813</v>
      </c>
      <c r="F118" t="s">
        <v>1785</v>
      </c>
    </row>
    <row r="119" spans="1:7" x14ac:dyDescent="0.2">
      <c r="D119" t="s">
        <v>80</v>
      </c>
      <c r="E119" t="s">
        <v>1813</v>
      </c>
      <c r="F119" t="s">
        <v>1785</v>
      </c>
    </row>
    <row r="120" spans="1:7" x14ac:dyDescent="0.2">
      <c r="D120" t="s">
        <v>12</v>
      </c>
      <c r="E120" t="s">
        <v>1813</v>
      </c>
      <c r="F120" t="s">
        <v>1785</v>
      </c>
    </row>
    <row r="121" spans="1:7" x14ac:dyDescent="0.2">
      <c r="D121" t="s">
        <v>87</v>
      </c>
      <c r="E121" t="s">
        <v>1813</v>
      </c>
      <c r="F121" t="s">
        <v>1785</v>
      </c>
    </row>
    <row r="122" spans="1:7" x14ac:dyDescent="0.2">
      <c r="C122" t="s">
        <v>1278</v>
      </c>
      <c r="D122" t="s">
        <v>12</v>
      </c>
      <c r="E122" t="s">
        <v>1813</v>
      </c>
      <c r="F122" t="s">
        <v>1785</v>
      </c>
    </row>
    <row r="123" spans="1:7" x14ac:dyDescent="0.2">
      <c r="D123" t="s">
        <v>86</v>
      </c>
      <c r="E123" t="s">
        <v>1814</v>
      </c>
      <c r="F123" t="s">
        <v>1785</v>
      </c>
    </row>
    <row r="124" spans="1:7" x14ac:dyDescent="0.2">
      <c r="C124" t="s">
        <v>1279</v>
      </c>
      <c r="D124" t="s">
        <v>86</v>
      </c>
      <c r="E124" t="s">
        <v>1814</v>
      </c>
      <c r="F124" t="s">
        <v>1785</v>
      </c>
    </row>
    <row r="125" spans="1:7" x14ac:dyDescent="0.2">
      <c r="C125" t="s">
        <v>1280</v>
      </c>
      <c r="D125" t="s">
        <v>86</v>
      </c>
      <c r="E125" t="s">
        <v>1814</v>
      </c>
      <c r="F125" t="s">
        <v>1785</v>
      </c>
    </row>
    <row r="126" spans="1:7" x14ac:dyDescent="0.2">
      <c r="C126" t="s">
        <v>1281</v>
      </c>
      <c r="D126" t="s">
        <v>75</v>
      </c>
      <c r="E126" t="s">
        <v>1814</v>
      </c>
      <c r="F126" t="s">
        <v>1785</v>
      </c>
    </row>
    <row r="127" spans="1:7" x14ac:dyDescent="0.2">
      <c r="D127" t="s">
        <v>86</v>
      </c>
      <c r="E127" t="s">
        <v>1814</v>
      </c>
      <c r="F127" t="s">
        <v>1785</v>
      </c>
    </row>
    <row r="128" spans="1:7" ht="16" thickBot="1" x14ac:dyDescent="0.25">
      <c r="A128" s="26"/>
      <c r="B128" s="26"/>
      <c r="C128" s="26" t="s">
        <v>1283</v>
      </c>
      <c r="D128" s="26" t="s">
        <v>86</v>
      </c>
      <c r="E128" s="26" t="s">
        <v>1814</v>
      </c>
      <c r="F128" s="26" t="s">
        <v>1785</v>
      </c>
      <c r="G128" s="26"/>
    </row>
    <row r="129" spans="1:7" ht="16" x14ac:dyDescent="0.2">
      <c r="A129" s="25" t="s">
        <v>1293</v>
      </c>
      <c r="B129" t="s">
        <v>1294</v>
      </c>
      <c r="C129" t="s">
        <v>237</v>
      </c>
      <c r="D129" t="s">
        <v>77</v>
      </c>
      <c r="E129" t="s">
        <v>1784</v>
      </c>
      <c r="F129" t="s">
        <v>1785</v>
      </c>
    </row>
    <row r="130" spans="1:7" ht="16" thickBot="1" x14ac:dyDescent="0.25">
      <c r="A130" s="26"/>
      <c r="B130" s="26"/>
      <c r="C130" s="26" t="s">
        <v>236</v>
      </c>
      <c r="D130" s="26" t="s">
        <v>77</v>
      </c>
      <c r="E130" s="26" t="s">
        <v>1784</v>
      </c>
      <c r="F130" s="26" t="s">
        <v>1785</v>
      </c>
      <c r="G130" s="26"/>
    </row>
    <row r="131" spans="1:7" x14ac:dyDescent="0.2">
      <c r="A131" t="s">
        <v>1110</v>
      </c>
      <c r="B131" t="s">
        <v>1111</v>
      </c>
      <c r="C131" t="s">
        <v>1114</v>
      </c>
      <c r="D131" t="s">
        <v>72</v>
      </c>
      <c r="E131" t="s">
        <v>1807</v>
      </c>
      <c r="F131" t="s">
        <v>1785</v>
      </c>
    </row>
    <row r="132" spans="1:7" x14ac:dyDescent="0.2">
      <c r="D132" t="s">
        <v>73</v>
      </c>
      <c r="E132" t="s">
        <v>1807</v>
      </c>
      <c r="F132" t="s">
        <v>1785</v>
      </c>
    </row>
    <row r="133" spans="1:7" x14ac:dyDescent="0.2">
      <c r="D133" t="s">
        <v>77</v>
      </c>
      <c r="E133" t="s">
        <v>1807</v>
      </c>
      <c r="F133" t="s">
        <v>1785</v>
      </c>
    </row>
    <row r="134" spans="1:7" x14ac:dyDescent="0.2">
      <c r="D134" t="s">
        <v>78</v>
      </c>
      <c r="E134" t="s">
        <v>1807</v>
      </c>
      <c r="F134" t="s">
        <v>1785</v>
      </c>
    </row>
    <row r="135" spans="1:7" x14ac:dyDescent="0.2">
      <c r="D135" t="s">
        <v>79</v>
      </c>
      <c r="E135" t="s">
        <v>1807</v>
      </c>
      <c r="F135" t="s">
        <v>1785</v>
      </c>
    </row>
    <row r="136" spans="1:7" x14ac:dyDescent="0.2">
      <c r="D136" t="s">
        <v>80</v>
      </c>
      <c r="E136" t="s">
        <v>1807</v>
      </c>
      <c r="F136" t="s">
        <v>1785</v>
      </c>
    </row>
    <row r="137" spans="1:7" x14ac:dyDescent="0.2">
      <c r="D137" t="s">
        <v>82</v>
      </c>
      <c r="E137" t="s">
        <v>1807</v>
      </c>
      <c r="F137" t="s">
        <v>1785</v>
      </c>
    </row>
    <row r="138" spans="1:7" x14ac:dyDescent="0.2">
      <c r="D138" t="s">
        <v>86</v>
      </c>
      <c r="E138" t="s">
        <v>1807</v>
      </c>
      <c r="F138" t="s">
        <v>1785</v>
      </c>
    </row>
    <row r="139" spans="1:7" x14ac:dyDescent="0.2">
      <c r="D139" t="s">
        <v>87</v>
      </c>
      <c r="E139" t="s">
        <v>1807</v>
      </c>
      <c r="F139" t="s">
        <v>1785</v>
      </c>
    </row>
    <row r="140" spans="1:7" x14ac:dyDescent="0.2">
      <c r="C140" t="s">
        <v>1112</v>
      </c>
      <c r="D140" t="s">
        <v>72</v>
      </c>
      <c r="E140" t="s">
        <v>1807</v>
      </c>
      <c r="F140" t="s">
        <v>1785</v>
      </c>
    </row>
    <row r="141" spans="1:7" x14ac:dyDescent="0.2">
      <c r="D141" t="s">
        <v>73</v>
      </c>
      <c r="E141" t="s">
        <v>1807</v>
      </c>
      <c r="F141" t="s">
        <v>1785</v>
      </c>
    </row>
    <row r="142" spans="1:7" x14ac:dyDescent="0.2">
      <c r="D142" t="s">
        <v>75</v>
      </c>
      <c r="E142" t="s">
        <v>1807</v>
      </c>
      <c r="F142" t="s">
        <v>1785</v>
      </c>
    </row>
    <row r="143" spans="1:7" x14ac:dyDescent="0.2">
      <c r="D143" t="s">
        <v>77</v>
      </c>
      <c r="E143" t="s">
        <v>1807</v>
      </c>
      <c r="F143" t="s">
        <v>1785</v>
      </c>
    </row>
    <row r="144" spans="1:7" x14ac:dyDescent="0.2">
      <c r="D144" t="s">
        <v>78</v>
      </c>
      <c r="E144" t="s">
        <v>1807</v>
      </c>
      <c r="F144" t="s">
        <v>1785</v>
      </c>
    </row>
    <row r="145" spans="1:7" x14ac:dyDescent="0.2">
      <c r="D145" t="s">
        <v>79</v>
      </c>
      <c r="E145" t="s">
        <v>1807</v>
      </c>
      <c r="F145" t="s">
        <v>1785</v>
      </c>
    </row>
    <row r="146" spans="1:7" x14ac:dyDescent="0.2">
      <c r="D146" t="s">
        <v>80</v>
      </c>
      <c r="E146" t="s">
        <v>1807</v>
      </c>
      <c r="F146" t="s">
        <v>1785</v>
      </c>
    </row>
    <row r="147" spans="1:7" x14ac:dyDescent="0.2">
      <c r="D147" t="s">
        <v>82</v>
      </c>
      <c r="E147" t="s">
        <v>1807</v>
      </c>
      <c r="F147" t="s">
        <v>1785</v>
      </c>
    </row>
    <row r="148" spans="1:7" x14ac:dyDescent="0.2">
      <c r="D148" t="s">
        <v>86</v>
      </c>
      <c r="E148" t="s">
        <v>1807</v>
      </c>
      <c r="F148" t="s">
        <v>1785</v>
      </c>
    </row>
    <row r="149" spans="1:7" x14ac:dyDescent="0.2">
      <c r="D149" t="s">
        <v>87</v>
      </c>
      <c r="E149" t="s">
        <v>1807</v>
      </c>
      <c r="F149" t="s">
        <v>1785</v>
      </c>
    </row>
    <row r="150" spans="1:7" x14ac:dyDescent="0.2">
      <c r="C150" t="s">
        <v>1113</v>
      </c>
      <c r="D150" t="s">
        <v>72</v>
      </c>
      <c r="E150" t="s">
        <v>1807</v>
      </c>
      <c r="F150" t="s">
        <v>1785</v>
      </c>
    </row>
    <row r="151" spans="1:7" x14ac:dyDescent="0.2">
      <c r="D151" t="s">
        <v>73</v>
      </c>
      <c r="E151" t="s">
        <v>1815</v>
      </c>
      <c r="F151" t="s">
        <v>1790</v>
      </c>
    </row>
    <row r="152" spans="1:7" x14ac:dyDescent="0.2">
      <c r="D152" t="s">
        <v>77</v>
      </c>
      <c r="E152" t="s">
        <v>1807</v>
      </c>
      <c r="F152" t="s">
        <v>1785</v>
      </c>
    </row>
    <row r="153" spans="1:7" x14ac:dyDescent="0.2">
      <c r="D153" t="s">
        <v>78</v>
      </c>
      <c r="E153" t="s">
        <v>1807</v>
      </c>
      <c r="F153" t="s">
        <v>1785</v>
      </c>
    </row>
    <row r="154" spans="1:7" x14ac:dyDescent="0.2">
      <c r="D154" t="s">
        <v>79</v>
      </c>
      <c r="E154" t="s">
        <v>1807</v>
      </c>
      <c r="F154" t="s">
        <v>1785</v>
      </c>
    </row>
    <row r="155" spans="1:7" x14ac:dyDescent="0.2">
      <c r="D155" t="s">
        <v>80</v>
      </c>
      <c r="E155" t="s">
        <v>1807</v>
      </c>
      <c r="F155" t="s">
        <v>1785</v>
      </c>
    </row>
    <row r="156" spans="1:7" x14ac:dyDescent="0.2">
      <c r="D156" t="s">
        <v>82</v>
      </c>
      <c r="E156" t="s">
        <v>1807</v>
      </c>
      <c r="F156" t="s">
        <v>1785</v>
      </c>
    </row>
    <row r="157" spans="1:7" x14ac:dyDescent="0.2">
      <c r="D157" t="s">
        <v>86</v>
      </c>
      <c r="E157" t="s">
        <v>1807</v>
      </c>
      <c r="F157" t="s">
        <v>1785</v>
      </c>
    </row>
    <row r="158" spans="1:7" ht="16" thickBot="1" x14ac:dyDescent="0.25">
      <c r="A158" s="26"/>
      <c r="B158" s="26"/>
      <c r="C158" s="26"/>
      <c r="D158" s="26" t="s">
        <v>87</v>
      </c>
      <c r="E158" s="26" t="s">
        <v>1807</v>
      </c>
      <c r="F158" s="26" t="s">
        <v>1785</v>
      </c>
      <c r="G158" s="26"/>
    </row>
    <row r="159" spans="1:7" x14ac:dyDescent="0.2">
      <c r="A159" t="s">
        <v>1098</v>
      </c>
      <c r="B159" t="s">
        <v>1099</v>
      </c>
      <c r="C159" t="s">
        <v>1103</v>
      </c>
      <c r="D159" t="s">
        <v>74</v>
      </c>
      <c r="E159" t="s">
        <v>1784</v>
      </c>
      <c r="F159" t="s">
        <v>1785</v>
      </c>
    </row>
    <row r="160" spans="1:7" x14ac:dyDescent="0.2">
      <c r="D160" t="s">
        <v>78</v>
      </c>
      <c r="E160" t="s">
        <v>1784</v>
      </c>
      <c r="F160" t="s">
        <v>1785</v>
      </c>
    </row>
    <row r="161" spans="1:7" x14ac:dyDescent="0.2">
      <c r="D161" t="s">
        <v>83</v>
      </c>
      <c r="E161" t="s">
        <v>1784</v>
      </c>
      <c r="F161" t="s">
        <v>1785</v>
      </c>
    </row>
    <row r="162" spans="1:7" x14ac:dyDescent="0.2">
      <c r="D162" t="s">
        <v>84</v>
      </c>
      <c r="E162" t="s">
        <v>1784</v>
      </c>
      <c r="F162" t="s">
        <v>1785</v>
      </c>
    </row>
    <row r="163" spans="1:7" x14ac:dyDescent="0.2">
      <c r="D163" t="s">
        <v>87</v>
      </c>
      <c r="E163" t="s">
        <v>1784</v>
      </c>
      <c r="F163" t="s">
        <v>1785</v>
      </c>
    </row>
    <row r="164" spans="1:7" x14ac:dyDescent="0.2">
      <c r="C164" t="s">
        <v>1104</v>
      </c>
      <c r="D164" t="s">
        <v>74</v>
      </c>
      <c r="E164" t="s">
        <v>1784</v>
      </c>
      <c r="F164" t="s">
        <v>1785</v>
      </c>
    </row>
    <row r="165" spans="1:7" x14ac:dyDescent="0.2">
      <c r="D165" t="s">
        <v>83</v>
      </c>
      <c r="E165" t="s">
        <v>1784</v>
      </c>
      <c r="F165" t="s">
        <v>1785</v>
      </c>
    </row>
    <row r="166" spans="1:7" x14ac:dyDescent="0.2">
      <c r="D166" t="s">
        <v>84</v>
      </c>
      <c r="E166" t="s">
        <v>1784</v>
      </c>
      <c r="F166" t="s">
        <v>1785</v>
      </c>
    </row>
    <row r="167" spans="1:7" x14ac:dyDescent="0.2">
      <c r="D167" t="s">
        <v>87</v>
      </c>
      <c r="E167" t="s">
        <v>1784</v>
      </c>
      <c r="F167" t="s">
        <v>1785</v>
      </c>
    </row>
    <row r="168" spans="1:7" x14ac:dyDescent="0.2">
      <c r="C168" t="s">
        <v>1105</v>
      </c>
      <c r="D168" t="s">
        <v>73</v>
      </c>
      <c r="E168" t="s">
        <v>1784</v>
      </c>
      <c r="F168" t="s">
        <v>1785</v>
      </c>
    </row>
    <row r="169" spans="1:7" x14ac:dyDescent="0.2">
      <c r="D169" t="s">
        <v>74</v>
      </c>
      <c r="E169" t="s">
        <v>1784</v>
      </c>
      <c r="F169" t="s">
        <v>1785</v>
      </c>
    </row>
    <row r="170" spans="1:7" x14ac:dyDescent="0.2">
      <c r="D170" t="s">
        <v>78</v>
      </c>
      <c r="E170" t="s">
        <v>1784</v>
      </c>
      <c r="F170" t="s">
        <v>1785</v>
      </c>
    </row>
    <row r="171" spans="1:7" x14ac:dyDescent="0.2">
      <c r="D171" t="s">
        <v>83</v>
      </c>
      <c r="E171" t="s">
        <v>1784</v>
      </c>
      <c r="F171" t="s">
        <v>1785</v>
      </c>
    </row>
    <row r="172" spans="1:7" x14ac:dyDescent="0.2">
      <c r="D172" t="s">
        <v>84</v>
      </c>
      <c r="E172" t="s">
        <v>1784</v>
      </c>
      <c r="F172" t="s">
        <v>1785</v>
      </c>
    </row>
    <row r="173" spans="1:7" ht="16" thickBot="1" x14ac:dyDescent="0.25">
      <c r="A173" s="26"/>
      <c r="B173" s="26"/>
      <c r="C173" s="26"/>
      <c r="D173" s="26" t="s">
        <v>87</v>
      </c>
      <c r="E173" s="26" t="s">
        <v>1784</v>
      </c>
      <c r="F173" s="26" t="s">
        <v>1785</v>
      </c>
      <c r="G173" s="26"/>
    </row>
    <row r="174" spans="1:7" ht="16" x14ac:dyDescent="0.2">
      <c r="A174" s="15" t="s">
        <v>1074</v>
      </c>
      <c r="B174" t="s">
        <v>1075</v>
      </c>
      <c r="C174" t="s">
        <v>1078</v>
      </c>
      <c r="D174" t="s">
        <v>76</v>
      </c>
      <c r="E174" t="s">
        <v>1816</v>
      </c>
      <c r="F174" t="s">
        <v>1792</v>
      </c>
    </row>
    <row r="175" spans="1:7" x14ac:dyDescent="0.2">
      <c r="C175" t="s">
        <v>1079</v>
      </c>
      <c r="D175" t="s">
        <v>76</v>
      </c>
      <c r="E175" t="s">
        <v>1816</v>
      </c>
      <c r="F175" t="s">
        <v>1792</v>
      </c>
    </row>
    <row r="176" spans="1:7" x14ac:dyDescent="0.2">
      <c r="D176" t="s">
        <v>83</v>
      </c>
      <c r="E176" t="s">
        <v>1794</v>
      </c>
      <c r="F176" t="s">
        <v>1795</v>
      </c>
    </row>
    <row r="177" spans="1:7" ht="16" thickBot="1" x14ac:dyDescent="0.25">
      <c r="A177" s="26"/>
      <c r="B177" s="26"/>
      <c r="C177" s="26"/>
      <c r="D177" s="26" t="s">
        <v>87</v>
      </c>
      <c r="E177" s="26" t="s">
        <v>1817</v>
      </c>
      <c r="F177" s="26" t="s">
        <v>1785</v>
      </c>
      <c r="G177" s="26"/>
    </row>
    <row r="178" spans="1:7" x14ac:dyDescent="0.2">
      <c r="A178" t="s">
        <v>1065</v>
      </c>
      <c r="B178" t="s">
        <v>1066</v>
      </c>
      <c r="C178" t="s">
        <v>1069</v>
      </c>
      <c r="D178" t="s">
        <v>72</v>
      </c>
      <c r="E178" t="s">
        <v>1818</v>
      </c>
      <c r="F178" t="s">
        <v>1785</v>
      </c>
      <c r="G178" t="s">
        <v>46</v>
      </c>
    </row>
    <row r="179" spans="1:7" x14ac:dyDescent="0.2">
      <c r="D179" t="s">
        <v>73</v>
      </c>
      <c r="E179" t="s">
        <v>1818</v>
      </c>
      <c r="F179" t="s">
        <v>1785</v>
      </c>
      <c r="G179" t="s">
        <v>46</v>
      </c>
    </row>
    <row r="180" spans="1:7" x14ac:dyDescent="0.2">
      <c r="D180" t="s">
        <v>77</v>
      </c>
      <c r="E180" t="s">
        <v>1818</v>
      </c>
      <c r="F180" t="s">
        <v>1785</v>
      </c>
      <c r="G180" t="s">
        <v>46</v>
      </c>
    </row>
    <row r="181" spans="1:7" x14ac:dyDescent="0.2">
      <c r="D181" t="s">
        <v>80</v>
      </c>
      <c r="E181" t="s">
        <v>1818</v>
      </c>
      <c r="F181" t="s">
        <v>1785</v>
      </c>
      <c r="G181" t="s">
        <v>46</v>
      </c>
    </row>
    <row r="182" spans="1:7" x14ac:dyDescent="0.2">
      <c r="D182" t="s">
        <v>12</v>
      </c>
      <c r="E182" t="s">
        <v>1818</v>
      </c>
      <c r="F182" t="s">
        <v>1785</v>
      </c>
      <c r="G182" t="s">
        <v>46</v>
      </c>
    </row>
    <row r="183" spans="1:7" ht="16" thickBot="1" x14ac:dyDescent="0.25">
      <c r="A183" s="26"/>
      <c r="B183" s="26"/>
      <c r="C183" s="26"/>
      <c r="D183" s="26" t="s">
        <v>86</v>
      </c>
      <c r="E183" s="26" t="s">
        <v>1818</v>
      </c>
      <c r="F183" s="26" t="s">
        <v>1785</v>
      </c>
      <c r="G183" s="26" t="s">
        <v>46</v>
      </c>
    </row>
    <row r="184" spans="1:7" ht="16" x14ac:dyDescent="0.2">
      <c r="A184" s="15" t="s">
        <v>1048</v>
      </c>
      <c r="B184" t="s">
        <v>1049</v>
      </c>
      <c r="C184" t="s">
        <v>1051</v>
      </c>
      <c r="D184" t="s">
        <v>77</v>
      </c>
      <c r="E184" t="s">
        <v>1819</v>
      </c>
      <c r="F184" t="s">
        <v>1785</v>
      </c>
    </row>
    <row r="185" spans="1:7" x14ac:dyDescent="0.2">
      <c r="D185" t="s">
        <v>12</v>
      </c>
      <c r="E185" t="s">
        <v>1819</v>
      </c>
      <c r="F185" t="s">
        <v>1785</v>
      </c>
    </row>
    <row r="186" spans="1:7" x14ac:dyDescent="0.2">
      <c r="D186" t="s">
        <v>82</v>
      </c>
      <c r="E186" t="s">
        <v>1820</v>
      </c>
      <c r="F186" t="s">
        <v>1785</v>
      </c>
    </row>
    <row r="187" spans="1:7" x14ac:dyDescent="0.2">
      <c r="D187" t="s">
        <v>72</v>
      </c>
      <c r="E187" t="s">
        <v>1821</v>
      </c>
      <c r="F187" t="s">
        <v>1795</v>
      </c>
      <c r="G187" t="s">
        <v>1822</v>
      </c>
    </row>
    <row r="188" spans="1:7" x14ac:dyDescent="0.2">
      <c r="D188" t="s">
        <v>80</v>
      </c>
      <c r="E188" t="s">
        <v>1821</v>
      </c>
      <c r="F188" t="s">
        <v>1795</v>
      </c>
      <c r="G188" t="s">
        <v>1822</v>
      </c>
    </row>
    <row r="189" spans="1:7" x14ac:dyDescent="0.2">
      <c r="D189" t="s">
        <v>86</v>
      </c>
      <c r="E189" t="s">
        <v>1821</v>
      </c>
      <c r="F189" t="s">
        <v>1795</v>
      </c>
      <c r="G189" t="s">
        <v>1822</v>
      </c>
    </row>
    <row r="190" spans="1:7" x14ac:dyDescent="0.2">
      <c r="C190" t="s">
        <v>1050</v>
      </c>
      <c r="D190" t="s">
        <v>77</v>
      </c>
      <c r="E190" t="s">
        <v>1819</v>
      </c>
      <c r="F190" t="s">
        <v>1785</v>
      </c>
    </row>
    <row r="191" spans="1:7" x14ac:dyDescent="0.2">
      <c r="D191" t="s">
        <v>12</v>
      </c>
      <c r="E191" t="s">
        <v>1819</v>
      </c>
      <c r="F191" t="s">
        <v>1785</v>
      </c>
    </row>
    <row r="192" spans="1:7" x14ac:dyDescent="0.2">
      <c r="D192" t="s">
        <v>82</v>
      </c>
      <c r="E192" t="s">
        <v>1820</v>
      </c>
      <c r="F192" t="s">
        <v>1785</v>
      </c>
    </row>
    <row r="193" spans="1:7" x14ac:dyDescent="0.2">
      <c r="D193" t="s">
        <v>72</v>
      </c>
      <c r="E193" t="s">
        <v>1821</v>
      </c>
      <c r="F193" t="s">
        <v>1795</v>
      </c>
      <c r="G193" t="s">
        <v>1822</v>
      </c>
    </row>
    <row r="194" spans="1:7" x14ac:dyDescent="0.2">
      <c r="D194" t="s">
        <v>80</v>
      </c>
      <c r="E194" t="s">
        <v>1821</v>
      </c>
      <c r="F194" t="s">
        <v>1795</v>
      </c>
      <c r="G194" t="s">
        <v>1822</v>
      </c>
    </row>
    <row r="195" spans="1:7" ht="16" thickBot="1" x14ac:dyDescent="0.25">
      <c r="A195" s="26"/>
      <c r="B195" s="26"/>
      <c r="C195" s="26"/>
      <c r="D195" s="26" t="s">
        <v>86</v>
      </c>
      <c r="E195" s="26" t="s">
        <v>1821</v>
      </c>
      <c r="F195" s="26" t="s">
        <v>1795</v>
      </c>
      <c r="G195" s="26" t="s">
        <v>1822</v>
      </c>
    </row>
    <row r="196" spans="1:7" ht="16" x14ac:dyDescent="0.2">
      <c r="A196" s="15" t="s">
        <v>1043</v>
      </c>
      <c r="B196" t="s">
        <v>1044</v>
      </c>
      <c r="C196" t="s">
        <v>1045</v>
      </c>
      <c r="D196" t="s">
        <v>73</v>
      </c>
      <c r="E196" t="s">
        <v>1823</v>
      </c>
      <c r="F196" t="s">
        <v>1824</v>
      </c>
    </row>
    <row r="197" spans="1:7" x14ac:dyDescent="0.2">
      <c r="D197" t="s">
        <v>79</v>
      </c>
      <c r="E197" t="s">
        <v>1825</v>
      </c>
      <c r="F197" t="s">
        <v>1781</v>
      </c>
    </row>
    <row r="198" spans="1:7" x14ac:dyDescent="0.2">
      <c r="D198" t="s">
        <v>87</v>
      </c>
      <c r="E198" t="s">
        <v>1825</v>
      </c>
      <c r="F198" t="s">
        <v>1781</v>
      </c>
    </row>
    <row r="199" spans="1:7" x14ac:dyDescent="0.2">
      <c r="C199" t="s">
        <v>1046</v>
      </c>
      <c r="D199" t="s">
        <v>73</v>
      </c>
      <c r="E199" t="s">
        <v>1826</v>
      </c>
      <c r="F199" t="s">
        <v>1824</v>
      </c>
    </row>
    <row r="200" spans="1:7" x14ac:dyDescent="0.2">
      <c r="D200" t="s">
        <v>80</v>
      </c>
      <c r="E200" t="s">
        <v>1825</v>
      </c>
      <c r="F200" t="s">
        <v>1781</v>
      </c>
    </row>
    <row r="201" spans="1:7" x14ac:dyDescent="0.2">
      <c r="D201" t="s">
        <v>82</v>
      </c>
      <c r="E201" t="s">
        <v>1825</v>
      </c>
      <c r="F201" t="s">
        <v>1781</v>
      </c>
    </row>
    <row r="202" spans="1:7" x14ac:dyDescent="0.2">
      <c r="C202" t="s">
        <v>1047</v>
      </c>
      <c r="D202" t="s">
        <v>83</v>
      </c>
      <c r="E202" t="s">
        <v>1825</v>
      </c>
      <c r="F202" t="s">
        <v>1781</v>
      </c>
    </row>
    <row r="203" spans="1:7" ht="16" thickBot="1" x14ac:dyDescent="0.25">
      <c r="A203" s="26"/>
      <c r="B203" s="26"/>
      <c r="C203" s="26"/>
      <c r="D203" s="26" t="s">
        <v>87</v>
      </c>
      <c r="E203" s="26" t="s">
        <v>1825</v>
      </c>
      <c r="F203" s="26" t="s">
        <v>1781</v>
      </c>
      <c r="G203" s="26"/>
    </row>
    <row r="204" spans="1:7" ht="16" x14ac:dyDescent="0.2">
      <c r="A204" s="15" t="s">
        <v>997</v>
      </c>
      <c r="B204" t="s">
        <v>998</v>
      </c>
      <c r="C204" t="s">
        <v>999</v>
      </c>
      <c r="D204" t="s">
        <v>12</v>
      </c>
      <c r="E204" t="s">
        <v>1784</v>
      </c>
      <c r="F204" t="s">
        <v>1785</v>
      </c>
    </row>
    <row r="205" spans="1:7" x14ac:dyDescent="0.2">
      <c r="D205" t="s">
        <v>83</v>
      </c>
      <c r="E205" t="s">
        <v>1784</v>
      </c>
      <c r="F205" t="s">
        <v>1785</v>
      </c>
    </row>
    <row r="206" spans="1:7" x14ac:dyDescent="0.2">
      <c r="C206" t="s">
        <v>1000</v>
      </c>
      <c r="D206" t="s">
        <v>12</v>
      </c>
      <c r="E206" t="s">
        <v>1784</v>
      </c>
      <c r="F206" t="s">
        <v>1785</v>
      </c>
    </row>
    <row r="207" spans="1:7" ht="16" thickBot="1" x14ac:dyDescent="0.25">
      <c r="A207" s="26"/>
      <c r="B207" s="26"/>
      <c r="C207" s="26"/>
      <c r="D207" s="26" t="s">
        <v>83</v>
      </c>
      <c r="E207" s="26" t="s">
        <v>1784</v>
      </c>
      <c r="F207" s="26" t="s">
        <v>1785</v>
      </c>
      <c r="G207" s="26"/>
    </row>
    <row r="208" spans="1:7" ht="16" x14ac:dyDescent="0.2">
      <c r="A208" s="15" t="s">
        <v>994</v>
      </c>
      <c r="B208" t="s">
        <v>995</v>
      </c>
      <c r="C208" t="s">
        <v>690</v>
      </c>
      <c r="D208" t="s">
        <v>12</v>
      </c>
      <c r="E208" t="s">
        <v>1827</v>
      </c>
      <c r="F208" t="s">
        <v>1785</v>
      </c>
    </row>
    <row r="209" spans="1:7" x14ac:dyDescent="0.2">
      <c r="D209" t="s">
        <v>73</v>
      </c>
      <c r="E209" t="s">
        <v>1828</v>
      </c>
      <c r="F209" t="s">
        <v>1829</v>
      </c>
    </row>
    <row r="210" spans="1:7" x14ac:dyDescent="0.2">
      <c r="D210" t="s">
        <v>74</v>
      </c>
      <c r="E210" t="s">
        <v>1830</v>
      </c>
      <c r="F210" t="s">
        <v>1829</v>
      </c>
    </row>
    <row r="211" spans="1:7" x14ac:dyDescent="0.2">
      <c r="D211" t="s">
        <v>76</v>
      </c>
      <c r="E211" t="s">
        <v>1830</v>
      </c>
      <c r="F211" t="s">
        <v>1829</v>
      </c>
    </row>
    <row r="212" spans="1:7" x14ac:dyDescent="0.2">
      <c r="D212" t="s">
        <v>81</v>
      </c>
      <c r="E212" t="s">
        <v>1830</v>
      </c>
      <c r="F212" t="s">
        <v>1829</v>
      </c>
    </row>
    <row r="213" spans="1:7" x14ac:dyDescent="0.2">
      <c r="D213" t="s">
        <v>83</v>
      </c>
      <c r="E213" t="s">
        <v>1830</v>
      </c>
      <c r="F213" t="s">
        <v>1829</v>
      </c>
    </row>
    <row r="214" spans="1:7" ht="16" thickBot="1" x14ac:dyDescent="0.25">
      <c r="A214" s="26"/>
      <c r="B214" s="26"/>
      <c r="C214" s="26"/>
      <c r="D214" s="26" t="s">
        <v>84</v>
      </c>
      <c r="E214" s="26" t="s">
        <v>1830</v>
      </c>
      <c r="F214" s="26" t="s">
        <v>1829</v>
      </c>
      <c r="G214" s="26"/>
    </row>
    <row r="215" spans="1:7" ht="16" x14ac:dyDescent="0.2">
      <c r="A215" s="15" t="s">
        <v>986</v>
      </c>
      <c r="B215" t="s">
        <v>987</v>
      </c>
      <c r="C215" t="s">
        <v>988</v>
      </c>
      <c r="D215" t="s">
        <v>76</v>
      </c>
      <c r="E215" t="s">
        <v>1831</v>
      </c>
      <c r="F215" t="s">
        <v>1832</v>
      </c>
    </row>
    <row r="216" spans="1:7" x14ac:dyDescent="0.2">
      <c r="D216" t="s">
        <v>79</v>
      </c>
      <c r="E216" t="s">
        <v>1831</v>
      </c>
      <c r="F216" t="s">
        <v>1832</v>
      </c>
    </row>
    <row r="217" spans="1:7" x14ac:dyDescent="0.2">
      <c r="D217" t="s">
        <v>12</v>
      </c>
      <c r="E217" t="s">
        <v>1833</v>
      </c>
      <c r="F217" t="s">
        <v>1834</v>
      </c>
    </row>
    <row r="218" spans="1:7" x14ac:dyDescent="0.2">
      <c r="D218" t="s">
        <v>83</v>
      </c>
      <c r="E218" t="s">
        <v>1835</v>
      </c>
      <c r="F218" t="s">
        <v>1781</v>
      </c>
      <c r="G218" t="s">
        <v>46</v>
      </c>
    </row>
    <row r="219" spans="1:7" x14ac:dyDescent="0.2">
      <c r="C219" t="s">
        <v>989</v>
      </c>
      <c r="D219" t="s">
        <v>76</v>
      </c>
      <c r="E219" t="s">
        <v>1831</v>
      </c>
      <c r="F219" t="s">
        <v>1832</v>
      </c>
    </row>
    <row r="220" spans="1:7" x14ac:dyDescent="0.2">
      <c r="D220" t="s">
        <v>79</v>
      </c>
      <c r="E220" t="s">
        <v>1831</v>
      </c>
      <c r="F220" t="s">
        <v>1832</v>
      </c>
      <c r="G220" t="s">
        <v>46</v>
      </c>
    </row>
    <row r="221" spans="1:7" x14ac:dyDescent="0.2">
      <c r="D221" t="s">
        <v>12</v>
      </c>
      <c r="E221" t="s">
        <v>1833</v>
      </c>
      <c r="F221" t="s">
        <v>1834</v>
      </c>
    </row>
    <row r="222" spans="1:7" x14ac:dyDescent="0.2">
      <c r="D222" t="s">
        <v>83</v>
      </c>
      <c r="E222" t="s">
        <v>1835</v>
      </c>
      <c r="F222" t="s">
        <v>1781</v>
      </c>
      <c r="G222" t="s">
        <v>46</v>
      </c>
    </row>
    <row r="223" spans="1:7" x14ac:dyDescent="0.2">
      <c r="C223" t="s">
        <v>990</v>
      </c>
      <c r="D223" t="s">
        <v>76</v>
      </c>
      <c r="E223" t="s">
        <v>1831</v>
      </c>
      <c r="F223" t="s">
        <v>1832</v>
      </c>
    </row>
    <row r="224" spans="1:7" x14ac:dyDescent="0.2">
      <c r="D224" t="s">
        <v>79</v>
      </c>
      <c r="E224" t="s">
        <v>1833</v>
      </c>
      <c r="F224" t="s">
        <v>1834</v>
      </c>
    </row>
    <row r="225" spans="1:7" x14ac:dyDescent="0.2">
      <c r="D225" t="s">
        <v>12</v>
      </c>
      <c r="E225" t="s">
        <v>1833</v>
      </c>
      <c r="F225" t="s">
        <v>1834</v>
      </c>
    </row>
    <row r="226" spans="1:7" x14ac:dyDescent="0.2">
      <c r="D226" t="s">
        <v>87</v>
      </c>
      <c r="E226" t="s">
        <v>1833</v>
      </c>
      <c r="F226" t="s">
        <v>1834</v>
      </c>
    </row>
    <row r="227" spans="1:7" x14ac:dyDescent="0.2">
      <c r="C227" t="s">
        <v>991</v>
      </c>
      <c r="D227" t="s">
        <v>76</v>
      </c>
      <c r="E227" t="s">
        <v>1831</v>
      </c>
      <c r="F227" t="s">
        <v>1832</v>
      </c>
    </row>
    <row r="228" spans="1:7" x14ac:dyDescent="0.2">
      <c r="D228" t="s">
        <v>79</v>
      </c>
      <c r="E228" t="s">
        <v>1831</v>
      </c>
      <c r="F228" t="s">
        <v>1832</v>
      </c>
    </row>
    <row r="229" spans="1:7" x14ac:dyDescent="0.2">
      <c r="D229" t="s">
        <v>12</v>
      </c>
      <c r="E229" t="s">
        <v>1833</v>
      </c>
      <c r="F229" t="s">
        <v>1834</v>
      </c>
    </row>
    <row r="230" spans="1:7" x14ac:dyDescent="0.2">
      <c r="D230" t="s">
        <v>87</v>
      </c>
      <c r="E230" t="s">
        <v>1833</v>
      </c>
      <c r="F230" t="s">
        <v>1834</v>
      </c>
    </row>
    <row r="231" spans="1:7" x14ac:dyDescent="0.2">
      <c r="C231" t="s">
        <v>992</v>
      </c>
      <c r="D231" t="s">
        <v>76</v>
      </c>
      <c r="E231" t="s">
        <v>1831</v>
      </c>
      <c r="F231" t="s">
        <v>1832</v>
      </c>
    </row>
    <row r="232" spans="1:7" x14ac:dyDescent="0.2">
      <c r="D232" t="s">
        <v>79</v>
      </c>
      <c r="E232" t="s">
        <v>1833</v>
      </c>
      <c r="F232" t="s">
        <v>1834</v>
      </c>
    </row>
    <row r="233" spans="1:7" x14ac:dyDescent="0.2">
      <c r="D233" t="s">
        <v>12</v>
      </c>
      <c r="E233" t="s">
        <v>1833</v>
      </c>
      <c r="F233" t="s">
        <v>1834</v>
      </c>
    </row>
    <row r="234" spans="1:7" x14ac:dyDescent="0.2">
      <c r="D234" t="s">
        <v>87</v>
      </c>
      <c r="E234" t="s">
        <v>1833</v>
      </c>
      <c r="F234" t="s">
        <v>1834</v>
      </c>
    </row>
    <row r="235" spans="1:7" x14ac:dyDescent="0.2">
      <c r="C235" t="s">
        <v>993</v>
      </c>
      <c r="D235" t="s">
        <v>76</v>
      </c>
      <c r="E235" t="s">
        <v>1831</v>
      </c>
      <c r="F235" t="s">
        <v>1832</v>
      </c>
    </row>
    <row r="236" spans="1:7" x14ac:dyDescent="0.2">
      <c r="D236" t="s">
        <v>79</v>
      </c>
      <c r="E236" t="s">
        <v>1833</v>
      </c>
      <c r="F236" t="s">
        <v>1834</v>
      </c>
    </row>
    <row r="237" spans="1:7" x14ac:dyDescent="0.2">
      <c r="D237" t="s">
        <v>12</v>
      </c>
      <c r="E237" t="s">
        <v>1833</v>
      </c>
      <c r="F237" t="s">
        <v>1834</v>
      </c>
    </row>
    <row r="238" spans="1:7" ht="16" thickBot="1" x14ac:dyDescent="0.25">
      <c r="A238" s="26"/>
      <c r="B238" s="26"/>
      <c r="C238" s="26"/>
      <c r="D238" s="26" t="s">
        <v>87</v>
      </c>
      <c r="E238" s="26" t="s">
        <v>1833</v>
      </c>
      <c r="F238" s="26" t="s">
        <v>1834</v>
      </c>
      <c r="G238" s="26"/>
    </row>
    <row r="239" spans="1:7" ht="16" x14ac:dyDescent="0.2">
      <c r="A239" s="15" t="s">
        <v>981</v>
      </c>
      <c r="B239" t="s">
        <v>982</v>
      </c>
      <c r="C239" t="s">
        <v>983</v>
      </c>
      <c r="D239" t="s">
        <v>77</v>
      </c>
      <c r="E239" t="s">
        <v>1836</v>
      </c>
      <c r="F239" t="s">
        <v>1837</v>
      </c>
    </row>
    <row r="240" spans="1:7" x14ac:dyDescent="0.2">
      <c r="D240" t="s">
        <v>12</v>
      </c>
      <c r="E240" t="s">
        <v>1836</v>
      </c>
      <c r="F240" t="s">
        <v>1837</v>
      </c>
    </row>
    <row r="241" spans="1:7" x14ac:dyDescent="0.2">
      <c r="C241" t="s">
        <v>984</v>
      </c>
      <c r="D241" t="s">
        <v>77</v>
      </c>
      <c r="E241" t="s">
        <v>1836</v>
      </c>
      <c r="F241" t="s">
        <v>1837</v>
      </c>
    </row>
    <row r="242" spans="1:7" x14ac:dyDescent="0.2">
      <c r="D242" t="s">
        <v>79</v>
      </c>
      <c r="E242" t="s">
        <v>1836</v>
      </c>
      <c r="F242" t="s">
        <v>1837</v>
      </c>
    </row>
    <row r="243" spans="1:7" x14ac:dyDescent="0.2">
      <c r="D243" t="s">
        <v>12</v>
      </c>
      <c r="E243" t="s">
        <v>1836</v>
      </c>
      <c r="F243" t="s">
        <v>1837</v>
      </c>
    </row>
    <row r="244" spans="1:7" x14ac:dyDescent="0.2">
      <c r="C244" t="s">
        <v>1838</v>
      </c>
      <c r="D244" t="s">
        <v>77</v>
      </c>
      <c r="E244" t="s">
        <v>1836</v>
      </c>
      <c r="F244" t="s">
        <v>1837</v>
      </c>
    </row>
    <row r="245" spans="1:7" x14ac:dyDescent="0.2">
      <c r="D245" t="s">
        <v>79</v>
      </c>
      <c r="E245" t="s">
        <v>1836</v>
      </c>
      <c r="F245" t="s">
        <v>1837</v>
      </c>
    </row>
    <row r="246" spans="1:7" ht="16" thickBot="1" x14ac:dyDescent="0.25">
      <c r="A246" s="26"/>
      <c r="B246" s="26"/>
      <c r="C246" s="26"/>
      <c r="D246" s="26" t="s">
        <v>12</v>
      </c>
      <c r="E246" s="26" t="s">
        <v>1836</v>
      </c>
      <c r="F246" s="26" t="s">
        <v>1837</v>
      </c>
      <c r="G246" s="26"/>
    </row>
    <row r="247" spans="1:7" x14ac:dyDescent="0.2">
      <c r="A247" t="s">
        <v>1309</v>
      </c>
      <c r="B247" t="s">
        <v>1310</v>
      </c>
      <c r="C247" t="s">
        <v>1312</v>
      </c>
      <c r="D247" t="s">
        <v>72</v>
      </c>
      <c r="E247" t="s">
        <v>1784</v>
      </c>
      <c r="F247" t="s">
        <v>1837</v>
      </c>
      <c r="G247" t="s">
        <v>1839</v>
      </c>
    </row>
    <row r="248" spans="1:7" x14ac:dyDescent="0.2">
      <c r="D248" t="s">
        <v>76</v>
      </c>
      <c r="E248" t="s">
        <v>1784</v>
      </c>
      <c r="F248" t="s">
        <v>1837</v>
      </c>
    </row>
    <row r="249" spans="1:7" x14ac:dyDescent="0.2">
      <c r="D249" t="s">
        <v>77</v>
      </c>
      <c r="E249" t="s">
        <v>1784</v>
      </c>
      <c r="F249" t="s">
        <v>1837</v>
      </c>
    </row>
    <row r="250" spans="1:7" x14ac:dyDescent="0.2">
      <c r="D250" t="s">
        <v>80</v>
      </c>
      <c r="E250" t="s">
        <v>1784</v>
      </c>
      <c r="F250" t="s">
        <v>1837</v>
      </c>
    </row>
    <row r="251" spans="1:7" x14ac:dyDescent="0.2">
      <c r="D251" t="s">
        <v>84</v>
      </c>
      <c r="E251" t="s">
        <v>1784</v>
      </c>
      <c r="F251" t="s">
        <v>1837</v>
      </c>
    </row>
    <row r="252" spans="1:7" ht="16" thickBot="1" x14ac:dyDescent="0.25">
      <c r="A252" s="26"/>
      <c r="B252" s="26"/>
      <c r="C252" s="26"/>
      <c r="D252" s="26" t="s">
        <v>87</v>
      </c>
      <c r="E252" s="26" t="s">
        <v>1784</v>
      </c>
      <c r="F252" s="26" t="s">
        <v>1837</v>
      </c>
      <c r="G252" s="26"/>
    </row>
    <row r="253" spans="1:7" x14ac:dyDescent="0.2">
      <c r="A253" t="s">
        <v>1316</v>
      </c>
      <c r="B253" t="s">
        <v>1317</v>
      </c>
      <c r="C253" t="s">
        <v>1319</v>
      </c>
      <c r="D253" t="s">
        <v>72</v>
      </c>
      <c r="E253" t="s">
        <v>1840</v>
      </c>
      <c r="F253" t="s">
        <v>1829</v>
      </c>
    </row>
    <row r="254" spans="1:7" x14ac:dyDescent="0.2">
      <c r="D254" t="s">
        <v>73</v>
      </c>
      <c r="E254" t="s">
        <v>1840</v>
      </c>
      <c r="F254" t="s">
        <v>1829</v>
      </c>
    </row>
    <row r="255" spans="1:7" x14ac:dyDescent="0.2">
      <c r="D255" t="s">
        <v>75</v>
      </c>
      <c r="E255" t="s">
        <v>1840</v>
      </c>
      <c r="F255" t="s">
        <v>1829</v>
      </c>
    </row>
    <row r="256" spans="1:7" x14ac:dyDescent="0.2">
      <c r="D256" t="s">
        <v>78</v>
      </c>
      <c r="E256" t="s">
        <v>1840</v>
      </c>
      <c r="F256" t="s">
        <v>1829</v>
      </c>
    </row>
    <row r="257" spans="3:6" x14ac:dyDescent="0.2">
      <c r="D257" t="s">
        <v>80</v>
      </c>
      <c r="E257" t="s">
        <v>1840</v>
      </c>
      <c r="F257" t="s">
        <v>1829</v>
      </c>
    </row>
    <row r="258" spans="3:6" x14ac:dyDescent="0.2">
      <c r="D258" t="s">
        <v>12</v>
      </c>
      <c r="E258" t="s">
        <v>1840</v>
      </c>
      <c r="F258" t="s">
        <v>1829</v>
      </c>
    </row>
    <row r="259" spans="3:6" x14ac:dyDescent="0.2">
      <c r="D259" t="s">
        <v>82</v>
      </c>
      <c r="E259" t="s">
        <v>1840</v>
      </c>
      <c r="F259" t="s">
        <v>1829</v>
      </c>
    </row>
    <row r="260" spans="3:6" x14ac:dyDescent="0.2">
      <c r="D260" t="s">
        <v>83</v>
      </c>
      <c r="E260" t="s">
        <v>1840</v>
      </c>
      <c r="F260" t="s">
        <v>1829</v>
      </c>
    </row>
    <row r="261" spans="3:6" x14ac:dyDescent="0.2">
      <c r="D261" t="s">
        <v>86</v>
      </c>
      <c r="E261" t="s">
        <v>1840</v>
      </c>
      <c r="F261" t="s">
        <v>1829</v>
      </c>
    </row>
    <row r="262" spans="3:6" x14ac:dyDescent="0.2">
      <c r="C262" t="s">
        <v>1320</v>
      </c>
      <c r="D262" t="s">
        <v>72</v>
      </c>
      <c r="E262" t="s">
        <v>1840</v>
      </c>
      <c r="F262" t="s">
        <v>1829</v>
      </c>
    </row>
    <row r="263" spans="3:6" x14ac:dyDescent="0.2">
      <c r="D263" t="s">
        <v>73</v>
      </c>
      <c r="E263" t="s">
        <v>1840</v>
      </c>
      <c r="F263" t="s">
        <v>1829</v>
      </c>
    </row>
    <row r="264" spans="3:6" x14ac:dyDescent="0.2">
      <c r="D264" t="s">
        <v>75</v>
      </c>
      <c r="E264" t="s">
        <v>1840</v>
      </c>
      <c r="F264" t="s">
        <v>1829</v>
      </c>
    </row>
    <row r="265" spans="3:6" x14ac:dyDescent="0.2">
      <c r="D265" t="s">
        <v>76</v>
      </c>
      <c r="E265" t="s">
        <v>1840</v>
      </c>
      <c r="F265" t="s">
        <v>1829</v>
      </c>
    </row>
    <row r="266" spans="3:6" x14ac:dyDescent="0.2">
      <c r="D266" t="s">
        <v>78</v>
      </c>
      <c r="E266" t="s">
        <v>1840</v>
      </c>
      <c r="F266" t="s">
        <v>1829</v>
      </c>
    </row>
    <row r="267" spans="3:6" x14ac:dyDescent="0.2">
      <c r="D267" t="s">
        <v>80</v>
      </c>
      <c r="E267" t="s">
        <v>1840</v>
      </c>
      <c r="F267" t="s">
        <v>1829</v>
      </c>
    </row>
    <row r="268" spans="3:6" x14ac:dyDescent="0.2">
      <c r="D268" t="s">
        <v>12</v>
      </c>
      <c r="E268" t="s">
        <v>1840</v>
      </c>
      <c r="F268" t="s">
        <v>1829</v>
      </c>
    </row>
    <row r="269" spans="3:6" x14ac:dyDescent="0.2">
      <c r="D269" t="s">
        <v>82</v>
      </c>
      <c r="E269" t="s">
        <v>1840</v>
      </c>
      <c r="F269" t="s">
        <v>1829</v>
      </c>
    </row>
    <row r="270" spans="3:6" x14ac:dyDescent="0.2">
      <c r="D270" t="s">
        <v>83</v>
      </c>
      <c r="E270" t="s">
        <v>1840</v>
      </c>
      <c r="F270" t="s">
        <v>1829</v>
      </c>
    </row>
    <row r="271" spans="3:6" x14ac:dyDescent="0.2">
      <c r="D271" t="s">
        <v>86</v>
      </c>
      <c r="E271" t="s">
        <v>1840</v>
      </c>
      <c r="F271" t="s">
        <v>1829</v>
      </c>
    </row>
    <row r="272" spans="3:6" x14ac:dyDescent="0.2">
      <c r="C272" t="s">
        <v>1321</v>
      </c>
      <c r="D272" t="s">
        <v>72</v>
      </c>
      <c r="E272" t="s">
        <v>1840</v>
      </c>
      <c r="F272" t="s">
        <v>1829</v>
      </c>
    </row>
    <row r="273" spans="3:6" x14ac:dyDescent="0.2">
      <c r="D273" t="s">
        <v>73</v>
      </c>
      <c r="E273" t="s">
        <v>1840</v>
      </c>
      <c r="F273" t="s">
        <v>1829</v>
      </c>
    </row>
    <row r="274" spans="3:6" x14ac:dyDescent="0.2">
      <c r="D274" t="s">
        <v>75</v>
      </c>
      <c r="E274" t="s">
        <v>1840</v>
      </c>
      <c r="F274" t="s">
        <v>1829</v>
      </c>
    </row>
    <row r="275" spans="3:6" x14ac:dyDescent="0.2">
      <c r="D275" t="s">
        <v>76</v>
      </c>
      <c r="E275" t="s">
        <v>1840</v>
      </c>
      <c r="F275" t="s">
        <v>1829</v>
      </c>
    </row>
    <row r="276" spans="3:6" x14ac:dyDescent="0.2">
      <c r="D276" t="s">
        <v>78</v>
      </c>
      <c r="E276" t="s">
        <v>1840</v>
      </c>
      <c r="F276" t="s">
        <v>1829</v>
      </c>
    </row>
    <row r="277" spans="3:6" x14ac:dyDescent="0.2">
      <c r="D277" t="s">
        <v>80</v>
      </c>
      <c r="E277" t="s">
        <v>1840</v>
      </c>
      <c r="F277" t="s">
        <v>1829</v>
      </c>
    </row>
    <row r="278" spans="3:6" x14ac:dyDescent="0.2">
      <c r="D278" t="s">
        <v>12</v>
      </c>
      <c r="E278" t="s">
        <v>1840</v>
      </c>
      <c r="F278" t="s">
        <v>1829</v>
      </c>
    </row>
    <row r="279" spans="3:6" x14ac:dyDescent="0.2">
      <c r="D279" t="s">
        <v>82</v>
      </c>
      <c r="E279" t="s">
        <v>1840</v>
      </c>
      <c r="F279" t="s">
        <v>1829</v>
      </c>
    </row>
    <row r="280" spans="3:6" x14ac:dyDescent="0.2">
      <c r="D280" t="s">
        <v>83</v>
      </c>
      <c r="E280" t="s">
        <v>1840</v>
      </c>
      <c r="F280" t="s">
        <v>1829</v>
      </c>
    </row>
    <row r="281" spans="3:6" x14ac:dyDescent="0.2">
      <c r="D281" t="s">
        <v>86</v>
      </c>
      <c r="E281" t="s">
        <v>1840</v>
      </c>
      <c r="F281" t="s">
        <v>1829</v>
      </c>
    </row>
    <row r="282" spans="3:6" x14ac:dyDescent="0.2">
      <c r="C282" t="s">
        <v>1322</v>
      </c>
      <c r="D282" t="s">
        <v>72</v>
      </c>
      <c r="E282" t="s">
        <v>1840</v>
      </c>
      <c r="F282" t="s">
        <v>1829</v>
      </c>
    </row>
    <row r="283" spans="3:6" x14ac:dyDescent="0.2">
      <c r="D283" t="s">
        <v>73</v>
      </c>
      <c r="E283" t="s">
        <v>1840</v>
      </c>
      <c r="F283" t="s">
        <v>1829</v>
      </c>
    </row>
    <row r="284" spans="3:6" x14ac:dyDescent="0.2">
      <c r="D284" t="s">
        <v>75</v>
      </c>
      <c r="E284" t="s">
        <v>1840</v>
      </c>
      <c r="F284" t="s">
        <v>1829</v>
      </c>
    </row>
    <row r="285" spans="3:6" x14ac:dyDescent="0.2">
      <c r="D285" t="s">
        <v>76</v>
      </c>
      <c r="E285" t="s">
        <v>1840</v>
      </c>
      <c r="F285" t="s">
        <v>1829</v>
      </c>
    </row>
    <row r="286" spans="3:6" x14ac:dyDescent="0.2">
      <c r="D286" t="s">
        <v>78</v>
      </c>
      <c r="E286" t="s">
        <v>1840</v>
      </c>
      <c r="F286" t="s">
        <v>1829</v>
      </c>
    </row>
    <row r="287" spans="3:6" x14ac:dyDescent="0.2">
      <c r="D287" t="s">
        <v>80</v>
      </c>
      <c r="E287" t="s">
        <v>1840</v>
      </c>
      <c r="F287" t="s">
        <v>1829</v>
      </c>
    </row>
    <row r="288" spans="3:6" x14ac:dyDescent="0.2">
      <c r="D288" t="s">
        <v>12</v>
      </c>
      <c r="E288" t="s">
        <v>1840</v>
      </c>
      <c r="F288" t="s">
        <v>1829</v>
      </c>
    </row>
    <row r="289" spans="1:7" x14ac:dyDescent="0.2">
      <c r="D289" t="s">
        <v>82</v>
      </c>
      <c r="E289" t="s">
        <v>1840</v>
      </c>
      <c r="F289" t="s">
        <v>1829</v>
      </c>
    </row>
    <row r="290" spans="1:7" x14ac:dyDescent="0.2">
      <c r="D290" t="s">
        <v>83</v>
      </c>
      <c r="E290" t="s">
        <v>1840</v>
      </c>
      <c r="F290" t="s">
        <v>1829</v>
      </c>
    </row>
    <row r="291" spans="1:7" x14ac:dyDescent="0.2">
      <c r="D291" t="s">
        <v>86</v>
      </c>
      <c r="E291" t="s">
        <v>1840</v>
      </c>
      <c r="F291" t="s">
        <v>1829</v>
      </c>
    </row>
    <row r="292" spans="1:7" x14ac:dyDescent="0.2">
      <c r="C292" t="s">
        <v>1323</v>
      </c>
      <c r="D292" t="s">
        <v>72</v>
      </c>
      <c r="E292" t="s">
        <v>1840</v>
      </c>
      <c r="F292" t="s">
        <v>1829</v>
      </c>
    </row>
    <row r="293" spans="1:7" x14ac:dyDescent="0.2">
      <c r="D293" t="s">
        <v>73</v>
      </c>
      <c r="E293" t="s">
        <v>1840</v>
      </c>
      <c r="F293" t="s">
        <v>1829</v>
      </c>
    </row>
    <row r="294" spans="1:7" x14ac:dyDescent="0.2">
      <c r="D294" t="s">
        <v>75</v>
      </c>
      <c r="E294" t="s">
        <v>1840</v>
      </c>
      <c r="F294" t="s">
        <v>1829</v>
      </c>
    </row>
    <row r="295" spans="1:7" x14ac:dyDescent="0.2">
      <c r="D295" t="s">
        <v>76</v>
      </c>
      <c r="E295" t="s">
        <v>1840</v>
      </c>
      <c r="F295" t="s">
        <v>1829</v>
      </c>
    </row>
    <row r="296" spans="1:7" x14ac:dyDescent="0.2">
      <c r="D296" t="s">
        <v>78</v>
      </c>
      <c r="E296" t="s">
        <v>1840</v>
      </c>
      <c r="F296" t="s">
        <v>1829</v>
      </c>
    </row>
    <row r="297" spans="1:7" x14ac:dyDescent="0.2">
      <c r="D297" t="s">
        <v>80</v>
      </c>
      <c r="E297" t="s">
        <v>1840</v>
      </c>
      <c r="F297" t="s">
        <v>1829</v>
      </c>
    </row>
    <row r="298" spans="1:7" x14ac:dyDescent="0.2">
      <c r="D298" t="s">
        <v>12</v>
      </c>
      <c r="E298" t="s">
        <v>1840</v>
      </c>
      <c r="F298" t="s">
        <v>1829</v>
      </c>
    </row>
    <row r="299" spans="1:7" x14ac:dyDescent="0.2">
      <c r="D299" t="s">
        <v>82</v>
      </c>
      <c r="E299" t="s">
        <v>1840</v>
      </c>
      <c r="F299" t="s">
        <v>1829</v>
      </c>
    </row>
    <row r="300" spans="1:7" x14ac:dyDescent="0.2">
      <c r="D300" t="s">
        <v>86</v>
      </c>
      <c r="E300" t="s">
        <v>1840</v>
      </c>
      <c r="F300" t="s">
        <v>1829</v>
      </c>
    </row>
    <row r="301" spans="1:7" ht="16" thickBot="1" x14ac:dyDescent="0.25">
      <c r="A301" s="26"/>
      <c r="B301" s="26"/>
      <c r="C301" s="26"/>
      <c r="D301" s="26" t="s">
        <v>87</v>
      </c>
      <c r="E301" s="26" t="s">
        <v>1840</v>
      </c>
      <c r="F301" s="26" t="s">
        <v>1829</v>
      </c>
      <c r="G301" s="26"/>
    </row>
    <row r="302" spans="1:7" x14ac:dyDescent="0.2">
      <c r="A302" t="s">
        <v>1324</v>
      </c>
      <c r="B302" t="s">
        <v>1325</v>
      </c>
      <c r="C302" t="s">
        <v>1327</v>
      </c>
      <c r="D302" t="s">
        <v>83</v>
      </c>
      <c r="E302" t="s">
        <v>1841</v>
      </c>
      <c r="F302" t="s">
        <v>1842</v>
      </c>
    </row>
    <row r="303" spans="1:7" x14ac:dyDescent="0.2">
      <c r="C303" t="s">
        <v>1328</v>
      </c>
      <c r="D303" t="s">
        <v>83</v>
      </c>
      <c r="E303" t="s">
        <v>1841</v>
      </c>
      <c r="F303" t="s">
        <v>1842</v>
      </c>
    </row>
    <row r="304" spans="1:7" x14ac:dyDescent="0.2">
      <c r="C304" t="s">
        <v>1329</v>
      </c>
      <c r="D304" t="s">
        <v>83</v>
      </c>
      <c r="E304" t="s">
        <v>1841</v>
      </c>
      <c r="F304" t="s">
        <v>1842</v>
      </c>
    </row>
    <row r="305" spans="1:7" x14ac:dyDescent="0.2">
      <c r="C305" t="s">
        <v>1330</v>
      </c>
      <c r="D305" t="s">
        <v>73</v>
      </c>
      <c r="E305" t="s">
        <v>1841</v>
      </c>
      <c r="F305" t="s">
        <v>1842</v>
      </c>
    </row>
    <row r="306" spans="1:7" x14ac:dyDescent="0.2">
      <c r="D306" t="s">
        <v>83</v>
      </c>
      <c r="E306" t="s">
        <v>1841</v>
      </c>
      <c r="F306" t="s">
        <v>1842</v>
      </c>
    </row>
    <row r="307" spans="1:7" ht="16" thickBot="1" x14ac:dyDescent="0.25">
      <c r="A307" s="26"/>
      <c r="B307" s="26"/>
      <c r="C307" s="26" t="s">
        <v>1331</v>
      </c>
      <c r="D307" s="26" t="s">
        <v>83</v>
      </c>
      <c r="E307" s="26" t="s">
        <v>1841</v>
      </c>
      <c r="F307" s="26" t="s">
        <v>1842</v>
      </c>
      <c r="G307" s="26"/>
    </row>
    <row r="308" spans="1:7" x14ac:dyDescent="0.2">
      <c r="A308" t="s">
        <v>979</v>
      </c>
      <c r="B308" t="s">
        <v>980</v>
      </c>
      <c r="C308" t="s">
        <v>744</v>
      </c>
      <c r="D308" t="s">
        <v>72</v>
      </c>
      <c r="E308" t="s">
        <v>1843</v>
      </c>
      <c r="F308" t="s">
        <v>1837</v>
      </c>
    </row>
    <row r="309" spans="1:7" x14ac:dyDescent="0.2">
      <c r="D309" t="s">
        <v>77</v>
      </c>
      <c r="E309" t="s">
        <v>1843</v>
      </c>
      <c r="F309" t="s">
        <v>1837</v>
      </c>
    </row>
    <row r="310" spans="1:7" x14ac:dyDescent="0.2">
      <c r="D310" t="s">
        <v>78</v>
      </c>
      <c r="E310" t="s">
        <v>1844</v>
      </c>
      <c r="F310" t="s">
        <v>1845</v>
      </c>
    </row>
    <row r="311" spans="1:7" x14ac:dyDescent="0.2">
      <c r="D311" t="s">
        <v>83</v>
      </c>
      <c r="E311" t="s">
        <v>1843</v>
      </c>
      <c r="F311" t="s">
        <v>1837</v>
      </c>
    </row>
    <row r="312" spans="1:7" x14ac:dyDescent="0.2">
      <c r="D312" t="s">
        <v>85</v>
      </c>
      <c r="E312" t="s">
        <v>1843</v>
      </c>
      <c r="F312" t="s">
        <v>1837</v>
      </c>
    </row>
    <row r="313" spans="1:7" x14ac:dyDescent="0.2">
      <c r="D313" t="s">
        <v>87</v>
      </c>
      <c r="E313" t="s">
        <v>1843</v>
      </c>
      <c r="F313" t="s">
        <v>1837</v>
      </c>
    </row>
    <row r="314" spans="1:7" x14ac:dyDescent="0.2">
      <c r="C314" t="s">
        <v>704</v>
      </c>
      <c r="D314" t="s">
        <v>76</v>
      </c>
      <c r="E314" t="s">
        <v>1846</v>
      </c>
      <c r="F314" t="s">
        <v>1792</v>
      </c>
    </row>
    <row r="315" spans="1:7" ht="16" thickBot="1" x14ac:dyDescent="0.25">
      <c r="A315" s="26"/>
      <c r="B315" s="26"/>
      <c r="C315" s="26"/>
      <c r="D315" s="26" t="s">
        <v>78</v>
      </c>
      <c r="E315" s="26" t="s">
        <v>1847</v>
      </c>
      <c r="F315" s="26" t="s">
        <v>1795</v>
      </c>
      <c r="G315" s="26"/>
    </row>
    <row r="316" spans="1:7" x14ac:dyDescent="0.2">
      <c r="A316" t="s">
        <v>976</v>
      </c>
      <c r="B316" t="s">
        <v>977</v>
      </c>
      <c r="C316" t="s">
        <v>704</v>
      </c>
      <c r="D316" t="s">
        <v>72</v>
      </c>
      <c r="E316" t="s">
        <v>1848</v>
      </c>
      <c r="F316" t="s">
        <v>1837</v>
      </c>
    </row>
    <row r="317" spans="1:7" x14ac:dyDescent="0.2">
      <c r="D317" t="s">
        <v>73</v>
      </c>
      <c r="E317" t="s">
        <v>1847</v>
      </c>
      <c r="F317" t="s">
        <v>1795</v>
      </c>
    </row>
    <row r="318" spans="1:7" x14ac:dyDescent="0.2">
      <c r="D318" t="s">
        <v>74</v>
      </c>
      <c r="E318" t="s">
        <v>1849</v>
      </c>
      <c r="F318" t="s">
        <v>1792</v>
      </c>
    </row>
    <row r="319" spans="1:7" x14ac:dyDescent="0.2">
      <c r="D319" t="s">
        <v>77</v>
      </c>
      <c r="E319" t="s">
        <v>1850</v>
      </c>
      <c r="F319" t="s">
        <v>1797</v>
      </c>
    </row>
    <row r="320" spans="1:7" x14ac:dyDescent="0.2">
      <c r="D320" t="s">
        <v>79</v>
      </c>
      <c r="E320" t="s">
        <v>1851</v>
      </c>
      <c r="F320" t="s">
        <v>1837</v>
      </c>
    </row>
    <row r="321" spans="3:6" x14ac:dyDescent="0.2">
      <c r="D321" t="s">
        <v>12</v>
      </c>
      <c r="E321" t="s">
        <v>1852</v>
      </c>
      <c r="F321" t="s">
        <v>1837</v>
      </c>
    </row>
    <row r="322" spans="3:6" x14ac:dyDescent="0.2">
      <c r="D322" t="s">
        <v>82</v>
      </c>
      <c r="E322" t="s">
        <v>1853</v>
      </c>
      <c r="F322" t="s">
        <v>1792</v>
      </c>
    </row>
    <row r="323" spans="3:6" x14ac:dyDescent="0.2">
      <c r="D323" t="s">
        <v>83</v>
      </c>
      <c r="E323" t="s">
        <v>1847</v>
      </c>
      <c r="F323" t="s">
        <v>1795</v>
      </c>
    </row>
    <row r="324" spans="3:6" x14ac:dyDescent="0.2">
      <c r="C324" t="s">
        <v>705</v>
      </c>
      <c r="D324" t="s">
        <v>72</v>
      </c>
      <c r="E324" t="s">
        <v>1848</v>
      </c>
      <c r="F324" t="s">
        <v>1837</v>
      </c>
    </row>
    <row r="325" spans="3:6" x14ac:dyDescent="0.2">
      <c r="D325" t="s">
        <v>74</v>
      </c>
      <c r="E325" t="s">
        <v>1849</v>
      </c>
      <c r="F325" t="s">
        <v>1792</v>
      </c>
    </row>
    <row r="326" spans="3:6" x14ac:dyDescent="0.2">
      <c r="D326" t="s">
        <v>77</v>
      </c>
      <c r="E326" t="s">
        <v>1850</v>
      </c>
      <c r="F326" t="s">
        <v>1797</v>
      </c>
    </row>
    <row r="327" spans="3:6" x14ac:dyDescent="0.2">
      <c r="D327" t="s">
        <v>78</v>
      </c>
      <c r="E327" t="s">
        <v>1847</v>
      </c>
      <c r="F327" t="s">
        <v>1795</v>
      </c>
    </row>
    <row r="328" spans="3:6" x14ac:dyDescent="0.2">
      <c r="D328" t="s">
        <v>12</v>
      </c>
      <c r="E328" t="s">
        <v>1852</v>
      </c>
      <c r="F328" t="s">
        <v>1837</v>
      </c>
    </row>
    <row r="329" spans="3:6" x14ac:dyDescent="0.2">
      <c r="D329" t="s">
        <v>82</v>
      </c>
      <c r="E329" t="s">
        <v>1853</v>
      </c>
      <c r="F329" t="s">
        <v>1792</v>
      </c>
    </row>
    <row r="330" spans="3:6" x14ac:dyDescent="0.2">
      <c r="D330" t="s">
        <v>83</v>
      </c>
      <c r="E330" t="s">
        <v>1847</v>
      </c>
      <c r="F330" t="s">
        <v>1795</v>
      </c>
    </row>
    <row r="331" spans="3:6" x14ac:dyDescent="0.2">
      <c r="C331" t="s">
        <v>978</v>
      </c>
      <c r="D331" t="s">
        <v>72</v>
      </c>
      <c r="E331" t="s">
        <v>1848</v>
      </c>
      <c r="F331" t="s">
        <v>1837</v>
      </c>
    </row>
    <row r="332" spans="3:6" x14ac:dyDescent="0.2">
      <c r="D332" t="s">
        <v>74</v>
      </c>
      <c r="E332" t="s">
        <v>1849</v>
      </c>
      <c r="F332" t="s">
        <v>1792</v>
      </c>
    </row>
    <row r="333" spans="3:6" x14ac:dyDescent="0.2">
      <c r="D333" t="s">
        <v>77</v>
      </c>
      <c r="E333" t="s">
        <v>1850</v>
      </c>
      <c r="F333" t="s">
        <v>1797</v>
      </c>
    </row>
    <row r="334" spans="3:6" x14ac:dyDescent="0.2">
      <c r="D334" t="s">
        <v>78</v>
      </c>
      <c r="E334" t="s">
        <v>1799</v>
      </c>
      <c r="F334" t="s">
        <v>1837</v>
      </c>
    </row>
    <row r="335" spans="3:6" x14ac:dyDescent="0.2">
      <c r="D335" t="s">
        <v>12</v>
      </c>
      <c r="E335" t="s">
        <v>1852</v>
      </c>
      <c r="F335" t="s">
        <v>1837</v>
      </c>
    </row>
    <row r="336" spans="3:6" x14ac:dyDescent="0.2">
      <c r="D336" t="s">
        <v>82</v>
      </c>
      <c r="E336" t="s">
        <v>1853</v>
      </c>
      <c r="F336" t="s">
        <v>1792</v>
      </c>
    </row>
    <row r="337" spans="1:7" ht="16" thickBot="1" x14ac:dyDescent="0.25">
      <c r="A337" s="26"/>
      <c r="B337" s="26"/>
      <c r="C337" s="26"/>
      <c r="D337" s="26" t="s">
        <v>83</v>
      </c>
      <c r="E337" s="26" t="s">
        <v>1847</v>
      </c>
      <c r="F337" s="26" t="s">
        <v>1795</v>
      </c>
      <c r="G337" s="26"/>
    </row>
    <row r="338" spans="1:7" x14ac:dyDescent="0.2">
      <c r="A338" t="s">
        <v>968</v>
      </c>
      <c r="B338" t="s">
        <v>974</v>
      </c>
      <c r="C338" t="s">
        <v>975</v>
      </c>
      <c r="D338" t="s">
        <v>72</v>
      </c>
      <c r="E338" t="s">
        <v>1854</v>
      </c>
      <c r="F338" t="s">
        <v>1792</v>
      </c>
    </row>
    <row r="339" spans="1:7" x14ac:dyDescent="0.2">
      <c r="D339" t="s">
        <v>75</v>
      </c>
      <c r="E339" t="s">
        <v>1855</v>
      </c>
      <c r="F339" t="s">
        <v>1845</v>
      </c>
    </row>
    <row r="340" spans="1:7" x14ac:dyDescent="0.2">
      <c r="D340" t="s">
        <v>79</v>
      </c>
      <c r="E340" t="s">
        <v>1856</v>
      </c>
      <c r="F340" t="s">
        <v>1837</v>
      </c>
    </row>
    <row r="341" spans="1:7" x14ac:dyDescent="0.2">
      <c r="D341" t="s">
        <v>86</v>
      </c>
      <c r="E341" t="s">
        <v>1855</v>
      </c>
      <c r="F341" t="s">
        <v>1845</v>
      </c>
    </row>
    <row r="342" spans="1:7" ht="16" thickBot="1" x14ac:dyDescent="0.25">
      <c r="A342" s="26"/>
      <c r="B342" s="26"/>
      <c r="C342" s="26"/>
      <c r="D342" s="26" t="s">
        <v>87</v>
      </c>
      <c r="E342" s="26" t="s">
        <v>1855</v>
      </c>
      <c r="F342" s="26" t="s">
        <v>1845</v>
      </c>
      <c r="G342" s="26"/>
    </row>
    <row r="343" spans="1:7" x14ac:dyDescent="0.2">
      <c r="A343" t="s">
        <v>950</v>
      </c>
      <c r="B343" t="s">
        <v>951</v>
      </c>
      <c r="C343" t="s">
        <v>952</v>
      </c>
      <c r="D343" t="s">
        <v>78</v>
      </c>
      <c r="E343" t="s">
        <v>1857</v>
      </c>
      <c r="F343" t="s">
        <v>1837</v>
      </c>
      <c r="G343" t="s">
        <v>1858</v>
      </c>
    </row>
    <row r="344" spans="1:7" x14ac:dyDescent="0.2">
      <c r="D344" t="s">
        <v>79</v>
      </c>
      <c r="E344" t="s">
        <v>1859</v>
      </c>
      <c r="F344" t="s">
        <v>1837</v>
      </c>
    </row>
    <row r="345" spans="1:7" x14ac:dyDescent="0.2">
      <c r="D345" t="s">
        <v>12</v>
      </c>
      <c r="E345" t="s">
        <v>1860</v>
      </c>
      <c r="F345" t="s">
        <v>1792</v>
      </c>
    </row>
    <row r="346" spans="1:7" x14ac:dyDescent="0.2">
      <c r="D346" t="s">
        <v>82</v>
      </c>
      <c r="E346" t="s">
        <v>1861</v>
      </c>
      <c r="F346" t="s">
        <v>1837</v>
      </c>
    </row>
    <row r="347" spans="1:7" ht="16" thickBot="1" x14ac:dyDescent="0.25">
      <c r="A347" s="26"/>
      <c r="B347" s="26"/>
      <c r="C347" s="26"/>
      <c r="D347" s="26" t="s">
        <v>87</v>
      </c>
      <c r="E347" s="26" t="s">
        <v>1862</v>
      </c>
      <c r="F347" s="26" t="s">
        <v>1792</v>
      </c>
      <c r="G347" s="26"/>
    </row>
    <row r="348" spans="1:7" x14ac:dyDescent="0.2">
      <c r="A348" t="s">
        <v>934</v>
      </c>
      <c r="B348" t="s">
        <v>935</v>
      </c>
      <c r="C348" t="s">
        <v>937</v>
      </c>
      <c r="D348" t="s">
        <v>82</v>
      </c>
      <c r="E348" t="s">
        <v>1784</v>
      </c>
      <c r="F348" t="s">
        <v>1837</v>
      </c>
    </row>
    <row r="349" spans="1:7" x14ac:dyDescent="0.2">
      <c r="C349" t="s">
        <v>939</v>
      </c>
      <c r="D349" t="s">
        <v>82</v>
      </c>
      <c r="E349" t="s">
        <v>1784</v>
      </c>
      <c r="F349" t="s">
        <v>1837</v>
      </c>
    </row>
    <row r="350" spans="1:7" ht="16" thickBot="1" x14ac:dyDescent="0.25">
      <c r="A350" s="26"/>
      <c r="B350" s="26"/>
      <c r="C350" s="26" t="s">
        <v>940</v>
      </c>
      <c r="D350" s="26" t="s">
        <v>82</v>
      </c>
      <c r="E350" s="26" t="s">
        <v>1784</v>
      </c>
      <c r="F350" s="26" t="s">
        <v>1837</v>
      </c>
      <c r="G350" s="26"/>
    </row>
    <row r="351" spans="1:7" x14ac:dyDescent="0.2">
      <c r="A351" t="s">
        <v>923</v>
      </c>
      <c r="B351" t="s">
        <v>924</v>
      </c>
      <c r="C351" t="s">
        <v>925</v>
      </c>
      <c r="D351" t="s">
        <v>73</v>
      </c>
      <c r="E351" t="s">
        <v>1784</v>
      </c>
      <c r="F351" t="s">
        <v>1837</v>
      </c>
    </row>
    <row r="352" spans="1:7" x14ac:dyDescent="0.2">
      <c r="D352" t="s">
        <v>77</v>
      </c>
      <c r="E352" t="s">
        <v>1784</v>
      </c>
      <c r="F352" t="s">
        <v>1837</v>
      </c>
    </row>
    <row r="353" spans="1:7" x14ac:dyDescent="0.2">
      <c r="D353" t="s">
        <v>87</v>
      </c>
      <c r="E353" t="s">
        <v>1784</v>
      </c>
      <c r="F353" t="s">
        <v>1837</v>
      </c>
    </row>
    <row r="354" spans="1:7" x14ac:dyDescent="0.2">
      <c r="C354" t="s">
        <v>926</v>
      </c>
      <c r="D354" t="s">
        <v>73</v>
      </c>
      <c r="E354" t="s">
        <v>1784</v>
      </c>
      <c r="F354" t="s">
        <v>1837</v>
      </c>
    </row>
    <row r="355" spans="1:7" x14ac:dyDescent="0.2">
      <c r="D355" t="s">
        <v>77</v>
      </c>
      <c r="E355" t="s">
        <v>1784</v>
      </c>
      <c r="F355" t="s">
        <v>1837</v>
      </c>
    </row>
    <row r="356" spans="1:7" ht="16" thickBot="1" x14ac:dyDescent="0.25">
      <c r="A356" s="26"/>
      <c r="B356" s="26"/>
      <c r="C356" s="26"/>
      <c r="D356" s="26" t="s">
        <v>87</v>
      </c>
      <c r="E356" s="26" t="s">
        <v>1784</v>
      </c>
      <c r="F356" s="26" t="s">
        <v>1837</v>
      </c>
      <c r="G356" s="26"/>
    </row>
    <row r="357" spans="1:7" x14ac:dyDescent="0.2">
      <c r="A357" t="s">
        <v>905</v>
      </c>
      <c r="B357" t="s">
        <v>906</v>
      </c>
      <c r="C357" t="s">
        <v>907</v>
      </c>
      <c r="D357" t="s">
        <v>12</v>
      </c>
      <c r="E357" t="s">
        <v>1784</v>
      </c>
      <c r="F357" t="s">
        <v>1837</v>
      </c>
    </row>
    <row r="358" spans="1:7" x14ac:dyDescent="0.2">
      <c r="C358" t="s">
        <v>908</v>
      </c>
      <c r="D358" t="s">
        <v>12</v>
      </c>
      <c r="E358" t="s">
        <v>1784</v>
      </c>
      <c r="F358" t="s">
        <v>1837</v>
      </c>
    </row>
    <row r="359" spans="1:7" ht="16" thickBot="1" x14ac:dyDescent="0.25">
      <c r="A359" s="26"/>
      <c r="B359" s="26"/>
      <c r="C359" s="26" t="s">
        <v>909</v>
      </c>
      <c r="D359" s="26" t="s">
        <v>12</v>
      </c>
      <c r="E359" s="26" t="s">
        <v>1784</v>
      </c>
      <c r="F359" s="26" t="s">
        <v>1837</v>
      </c>
      <c r="G359" s="26"/>
    </row>
    <row r="360" spans="1:7" x14ac:dyDescent="0.2">
      <c r="A360" s="1" t="s">
        <v>888</v>
      </c>
      <c r="B360" s="1" t="s">
        <v>889</v>
      </c>
      <c r="C360" s="1" t="s">
        <v>891</v>
      </c>
      <c r="D360" t="s">
        <v>12</v>
      </c>
      <c r="E360" t="s">
        <v>1784</v>
      </c>
      <c r="F360" t="s">
        <v>1837</v>
      </c>
    </row>
    <row r="361" spans="1:7" ht="16" thickBot="1" x14ac:dyDescent="0.25">
      <c r="A361" s="29"/>
      <c r="B361" s="29"/>
      <c r="C361" s="29" t="s">
        <v>892</v>
      </c>
      <c r="D361" s="26" t="s">
        <v>12</v>
      </c>
      <c r="E361" s="26" t="s">
        <v>1784</v>
      </c>
      <c r="F361" s="26" t="s">
        <v>1837</v>
      </c>
      <c r="G361" s="26"/>
    </row>
    <row r="362" spans="1:7" x14ac:dyDescent="0.2">
      <c r="A362" t="s">
        <v>868</v>
      </c>
      <c r="B362" t="s">
        <v>869</v>
      </c>
      <c r="C362" t="s">
        <v>870</v>
      </c>
      <c r="D362" t="s">
        <v>78</v>
      </c>
      <c r="E362" t="s">
        <v>1784</v>
      </c>
      <c r="F362" t="s">
        <v>1837</v>
      </c>
    </row>
    <row r="363" spans="1:7" x14ac:dyDescent="0.2">
      <c r="D363" t="s">
        <v>79</v>
      </c>
      <c r="E363" t="s">
        <v>1784</v>
      </c>
      <c r="F363" t="s">
        <v>1837</v>
      </c>
    </row>
    <row r="364" spans="1:7" x14ac:dyDescent="0.2">
      <c r="D364" t="s">
        <v>82</v>
      </c>
      <c r="E364" t="s">
        <v>1784</v>
      </c>
      <c r="F364" t="s">
        <v>1837</v>
      </c>
    </row>
    <row r="365" spans="1:7" x14ac:dyDescent="0.2">
      <c r="D365" t="s">
        <v>87</v>
      </c>
      <c r="E365" t="s">
        <v>1784</v>
      </c>
      <c r="F365" t="s">
        <v>1837</v>
      </c>
    </row>
    <row r="366" spans="1:7" x14ac:dyDescent="0.2">
      <c r="C366" t="s">
        <v>872</v>
      </c>
      <c r="D366" t="s">
        <v>78</v>
      </c>
      <c r="E366" t="s">
        <v>1784</v>
      </c>
      <c r="F366" t="s">
        <v>1837</v>
      </c>
    </row>
    <row r="367" spans="1:7" x14ac:dyDescent="0.2">
      <c r="D367" t="s">
        <v>79</v>
      </c>
      <c r="E367" t="s">
        <v>1784</v>
      </c>
      <c r="F367" t="s">
        <v>1837</v>
      </c>
    </row>
    <row r="368" spans="1:7" x14ac:dyDescent="0.2">
      <c r="D368" t="s">
        <v>82</v>
      </c>
      <c r="E368" t="s">
        <v>1784</v>
      </c>
      <c r="F368" t="s">
        <v>1837</v>
      </c>
    </row>
    <row r="369" spans="1:7" ht="16" thickBot="1" x14ac:dyDescent="0.25">
      <c r="A369" s="26"/>
      <c r="B369" s="26"/>
      <c r="C369" s="26"/>
      <c r="D369" s="26" t="s">
        <v>87</v>
      </c>
      <c r="E369" s="26" t="s">
        <v>1784</v>
      </c>
      <c r="F369" s="26" t="s">
        <v>1837</v>
      </c>
      <c r="G369" s="26"/>
    </row>
    <row r="370" spans="1:7" ht="16" x14ac:dyDescent="0.2">
      <c r="A370" s="15" t="s">
        <v>856</v>
      </c>
      <c r="B370" t="s">
        <v>857</v>
      </c>
      <c r="C370" t="s">
        <v>859</v>
      </c>
      <c r="D370" t="s">
        <v>73</v>
      </c>
      <c r="E370" t="s">
        <v>1863</v>
      </c>
      <c r="F370" t="s">
        <v>1864</v>
      </c>
    </row>
    <row r="371" spans="1:7" x14ac:dyDescent="0.2">
      <c r="A371" s="25"/>
      <c r="D371" t="s">
        <v>76</v>
      </c>
      <c r="E371" t="s">
        <v>1865</v>
      </c>
      <c r="F371" t="s">
        <v>1802</v>
      </c>
    </row>
    <row r="372" spans="1:7" x14ac:dyDescent="0.2">
      <c r="A372" s="25"/>
      <c r="D372" t="s">
        <v>78</v>
      </c>
      <c r="E372" t="s">
        <v>1866</v>
      </c>
      <c r="F372" t="s">
        <v>1864</v>
      </c>
    </row>
    <row r="373" spans="1:7" x14ac:dyDescent="0.2">
      <c r="D373" t="s">
        <v>12</v>
      </c>
      <c r="E373" t="s">
        <v>1867</v>
      </c>
      <c r="F373" t="s">
        <v>1837</v>
      </c>
    </row>
    <row r="374" spans="1:7" x14ac:dyDescent="0.2">
      <c r="D374" t="s">
        <v>85</v>
      </c>
      <c r="E374" t="s">
        <v>1866</v>
      </c>
      <c r="F374" t="s">
        <v>1864</v>
      </c>
    </row>
    <row r="375" spans="1:7" x14ac:dyDescent="0.2">
      <c r="C375" t="s">
        <v>860</v>
      </c>
      <c r="D375" t="s">
        <v>73</v>
      </c>
      <c r="E375" t="s">
        <v>1868</v>
      </c>
      <c r="F375" t="s">
        <v>1864</v>
      </c>
    </row>
    <row r="376" spans="1:7" x14ac:dyDescent="0.2">
      <c r="D376" t="s">
        <v>76</v>
      </c>
      <c r="E376" t="s">
        <v>1865</v>
      </c>
      <c r="F376" t="s">
        <v>1802</v>
      </c>
    </row>
    <row r="377" spans="1:7" x14ac:dyDescent="0.2">
      <c r="D377" t="s">
        <v>78</v>
      </c>
      <c r="E377" t="s">
        <v>1866</v>
      </c>
      <c r="F377" t="s">
        <v>1864</v>
      </c>
    </row>
    <row r="378" spans="1:7" x14ac:dyDescent="0.2">
      <c r="D378" t="s">
        <v>12</v>
      </c>
      <c r="E378" t="s">
        <v>1867</v>
      </c>
      <c r="F378" t="s">
        <v>1837</v>
      </c>
    </row>
    <row r="379" spans="1:7" ht="16" thickBot="1" x14ac:dyDescent="0.25">
      <c r="A379" s="26"/>
      <c r="B379" s="26"/>
      <c r="C379" s="26"/>
      <c r="D379" s="26" t="s">
        <v>85</v>
      </c>
      <c r="E379" s="26" t="s">
        <v>1866</v>
      </c>
      <c r="F379" s="26" t="s">
        <v>1864</v>
      </c>
      <c r="G379" s="26"/>
    </row>
    <row r="380" spans="1:7" x14ac:dyDescent="0.2">
      <c r="A380" t="s">
        <v>853</v>
      </c>
      <c r="B380" t="s">
        <v>854</v>
      </c>
      <c r="C380" t="s">
        <v>831</v>
      </c>
      <c r="D380" t="s">
        <v>73</v>
      </c>
      <c r="E380" t="s">
        <v>1869</v>
      </c>
      <c r="F380" t="s">
        <v>1792</v>
      </c>
    </row>
    <row r="381" spans="1:7" x14ac:dyDescent="0.2">
      <c r="D381" t="s">
        <v>76</v>
      </c>
      <c r="E381" t="s">
        <v>1870</v>
      </c>
      <c r="F381" t="s">
        <v>1792</v>
      </c>
    </row>
    <row r="382" spans="1:7" x14ac:dyDescent="0.2">
      <c r="C382" t="s">
        <v>855</v>
      </c>
      <c r="D382" t="s">
        <v>73</v>
      </c>
      <c r="E382" t="s">
        <v>1869</v>
      </c>
      <c r="F382" t="s">
        <v>1792</v>
      </c>
    </row>
    <row r="383" spans="1:7" x14ac:dyDescent="0.2">
      <c r="D383" t="s">
        <v>76</v>
      </c>
      <c r="E383" t="s">
        <v>1870</v>
      </c>
      <c r="F383" t="s">
        <v>1792</v>
      </c>
    </row>
    <row r="384" spans="1:7" x14ac:dyDescent="0.2">
      <c r="D384" t="s">
        <v>88</v>
      </c>
      <c r="E384" t="s">
        <v>1871</v>
      </c>
      <c r="F384" t="s">
        <v>1792</v>
      </c>
    </row>
    <row r="385" spans="1:7" x14ac:dyDescent="0.2">
      <c r="C385" t="s">
        <v>1872</v>
      </c>
      <c r="D385" t="s">
        <v>73</v>
      </c>
      <c r="E385" t="s">
        <v>1869</v>
      </c>
      <c r="F385" t="s">
        <v>1792</v>
      </c>
    </row>
    <row r="386" spans="1:7" ht="16" thickBot="1" x14ac:dyDescent="0.25">
      <c r="A386" s="26"/>
      <c r="B386" s="26"/>
      <c r="C386" s="26"/>
      <c r="D386" s="26" t="s">
        <v>76</v>
      </c>
      <c r="E386" s="26" t="s">
        <v>1870</v>
      </c>
      <c r="F386" s="26" t="s">
        <v>1792</v>
      </c>
      <c r="G386" s="26"/>
    </row>
    <row r="387" spans="1:7" x14ac:dyDescent="0.2">
      <c r="A387" t="s">
        <v>841</v>
      </c>
      <c r="B387" t="s">
        <v>842</v>
      </c>
      <c r="C387" t="s">
        <v>690</v>
      </c>
      <c r="D387" t="s">
        <v>73</v>
      </c>
      <c r="E387" t="s">
        <v>1873</v>
      </c>
      <c r="F387" t="s">
        <v>1792</v>
      </c>
    </row>
    <row r="388" spans="1:7" ht="16" thickBot="1" x14ac:dyDescent="0.25">
      <c r="A388" s="26"/>
      <c r="B388" s="26"/>
      <c r="C388" s="26"/>
      <c r="D388" s="26" t="s">
        <v>77</v>
      </c>
      <c r="E388" s="26" t="s">
        <v>1874</v>
      </c>
      <c r="F388" s="26" t="s">
        <v>1837</v>
      </c>
      <c r="G388" s="26"/>
    </row>
    <row r="389" spans="1:7" x14ac:dyDescent="0.2">
      <c r="A389" t="s">
        <v>702</v>
      </c>
      <c r="B389" t="s">
        <v>832</v>
      </c>
      <c r="C389" t="s">
        <v>704</v>
      </c>
      <c r="D389" t="s">
        <v>78</v>
      </c>
      <c r="E389" t="s">
        <v>1875</v>
      </c>
      <c r="F389" t="s">
        <v>1837</v>
      </c>
    </row>
    <row r="390" spans="1:7" ht="16" thickBot="1" x14ac:dyDescent="0.25">
      <c r="A390" s="26"/>
      <c r="B390" s="26"/>
      <c r="C390" s="26"/>
      <c r="D390" s="26" t="s">
        <v>12</v>
      </c>
      <c r="E390" s="26" t="s">
        <v>1875</v>
      </c>
      <c r="F390" s="26" t="s">
        <v>1837</v>
      </c>
      <c r="G390" s="26"/>
    </row>
    <row r="391" spans="1:7" x14ac:dyDescent="0.2">
      <c r="A391" t="s">
        <v>828</v>
      </c>
      <c r="B391" t="s">
        <v>829</v>
      </c>
      <c r="C391" t="s">
        <v>831</v>
      </c>
      <c r="D391" t="s">
        <v>72</v>
      </c>
      <c r="E391" t="s">
        <v>1875</v>
      </c>
      <c r="F391" t="s">
        <v>1837</v>
      </c>
    </row>
    <row r="392" spans="1:7" x14ac:dyDescent="0.2">
      <c r="D392" t="s">
        <v>74</v>
      </c>
      <c r="E392" t="s">
        <v>1875</v>
      </c>
      <c r="F392" t="s">
        <v>1837</v>
      </c>
    </row>
    <row r="393" spans="1:7" ht="16" thickBot="1" x14ac:dyDescent="0.25">
      <c r="A393" s="26"/>
      <c r="B393" s="26"/>
      <c r="C393" s="26"/>
      <c r="D393" s="26" t="s">
        <v>80</v>
      </c>
      <c r="E393" s="26" t="s">
        <v>1875</v>
      </c>
      <c r="F393" s="26" t="s">
        <v>1837</v>
      </c>
      <c r="G393" s="26"/>
    </row>
    <row r="394" spans="1:7" x14ac:dyDescent="0.2">
      <c r="A394" t="s">
        <v>810</v>
      </c>
      <c r="B394" t="s">
        <v>811</v>
      </c>
      <c r="C394" t="s">
        <v>812</v>
      </c>
      <c r="D394" t="s">
        <v>73</v>
      </c>
      <c r="E394" t="s">
        <v>1875</v>
      </c>
      <c r="F394" t="s">
        <v>1837</v>
      </c>
    </row>
    <row r="395" spans="1:7" x14ac:dyDescent="0.2">
      <c r="D395" t="s">
        <v>76</v>
      </c>
      <c r="E395" t="s">
        <v>1875</v>
      </c>
      <c r="F395" t="s">
        <v>1837</v>
      </c>
    </row>
    <row r="396" spans="1:7" x14ac:dyDescent="0.2">
      <c r="D396" t="s">
        <v>80</v>
      </c>
      <c r="E396" t="s">
        <v>1875</v>
      </c>
      <c r="F396" t="s">
        <v>1837</v>
      </c>
    </row>
    <row r="397" spans="1:7" x14ac:dyDescent="0.2">
      <c r="D397" t="s">
        <v>82</v>
      </c>
      <c r="E397" t="s">
        <v>1875</v>
      </c>
      <c r="F397" t="s">
        <v>1837</v>
      </c>
    </row>
    <row r="398" spans="1:7" x14ac:dyDescent="0.2">
      <c r="D398" t="s">
        <v>86</v>
      </c>
      <c r="E398" t="s">
        <v>1875</v>
      </c>
      <c r="F398" t="s">
        <v>1837</v>
      </c>
    </row>
    <row r="399" spans="1:7" x14ac:dyDescent="0.2">
      <c r="C399" t="s">
        <v>813</v>
      </c>
      <c r="D399" t="s">
        <v>73</v>
      </c>
      <c r="E399" t="s">
        <v>1875</v>
      </c>
      <c r="F399" t="s">
        <v>1837</v>
      </c>
    </row>
    <row r="400" spans="1:7" x14ac:dyDescent="0.2">
      <c r="D400" t="s">
        <v>76</v>
      </c>
      <c r="E400" t="s">
        <v>1875</v>
      </c>
      <c r="F400" t="s">
        <v>1837</v>
      </c>
    </row>
    <row r="401" spans="1:7" x14ac:dyDescent="0.2">
      <c r="D401" t="s">
        <v>80</v>
      </c>
      <c r="E401" t="s">
        <v>1875</v>
      </c>
      <c r="F401" t="s">
        <v>1837</v>
      </c>
    </row>
    <row r="402" spans="1:7" x14ac:dyDescent="0.2">
      <c r="D402" t="s">
        <v>82</v>
      </c>
      <c r="E402" t="s">
        <v>1875</v>
      </c>
      <c r="F402" t="s">
        <v>1837</v>
      </c>
    </row>
    <row r="403" spans="1:7" ht="16" thickBot="1" x14ac:dyDescent="0.25">
      <c r="A403" s="26"/>
      <c r="B403" s="26"/>
      <c r="C403" s="26"/>
      <c r="D403" s="26" t="s">
        <v>86</v>
      </c>
      <c r="E403" s="26" t="s">
        <v>1875</v>
      </c>
      <c r="F403" s="26" t="s">
        <v>1837</v>
      </c>
      <c r="G403" s="26"/>
    </row>
    <row r="404" spans="1:7" x14ac:dyDescent="0.2">
      <c r="A404" t="s">
        <v>784</v>
      </c>
      <c r="B404" t="s">
        <v>785</v>
      </c>
      <c r="C404" t="s">
        <v>1876</v>
      </c>
      <c r="D404" t="s">
        <v>75</v>
      </c>
      <c r="E404" t="s">
        <v>1877</v>
      </c>
      <c r="F404" t="s">
        <v>1837</v>
      </c>
    </row>
    <row r="405" spans="1:7" x14ac:dyDescent="0.2">
      <c r="D405" t="s">
        <v>12</v>
      </c>
      <c r="E405" t="s">
        <v>1877</v>
      </c>
      <c r="F405" t="s">
        <v>1837</v>
      </c>
    </row>
    <row r="406" spans="1:7" ht="16" thickBot="1" x14ac:dyDescent="0.25">
      <c r="A406" s="26"/>
      <c r="B406" s="26"/>
      <c r="C406" s="26"/>
      <c r="D406" s="26" t="s">
        <v>82</v>
      </c>
      <c r="E406" s="26" t="s">
        <v>1877</v>
      </c>
      <c r="F406" s="26" t="s">
        <v>1837</v>
      </c>
      <c r="G406" s="26"/>
    </row>
    <row r="407" spans="1:7" ht="16" thickBot="1" x14ac:dyDescent="0.25">
      <c r="A407" s="30" t="s">
        <v>780</v>
      </c>
      <c r="B407" s="30" t="s">
        <v>781</v>
      </c>
      <c r="C407" s="30" t="s">
        <v>690</v>
      </c>
      <c r="D407" s="30" t="s">
        <v>73</v>
      </c>
      <c r="E407" s="30" t="s">
        <v>1878</v>
      </c>
      <c r="F407" s="30" t="s">
        <v>1837</v>
      </c>
      <c r="G407" s="30"/>
    </row>
    <row r="408" spans="1:7" x14ac:dyDescent="0.2">
      <c r="A408" t="s">
        <v>754</v>
      </c>
      <c r="B408" t="s">
        <v>755</v>
      </c>
      <c r="C408" t="s">
        <v>757</v>
      </c>
      <c r="D408" t="s">
        <v>77</v>
      </c>
      <c r="E408" t="s">
        <v>1875</v>
      </c>
      <c r="F408" t="s">
        <v>1837</v>
      </c>
    </row>
    <row r="409" spans="1:7" ht="16" thickBot="1" x14ac:dyDescent="0.25">
      <c r="A409" s="26"/>
      <c r="B409" s="26"/>
      <c r="C409" s="26" t="s">
        <v>758</v>
      </c>
      <c r="D409" s="26" t="s">
        <v>77</v>
      </c>
      <c r="E409" s="26" t="s">
        <v>1875</v>
      </c>
      <c r="F409" s="26" t="s">
        <v>1837</v>
      </c>
      <c r="G409" s="26"/>
    </row>
    <row r="410" spans="1:7" x14ac:dyDescent="0.2">
      <c r="A410" t="s">
        <v>745</v>
      </c>
      <c r="B410" t="s">
        <v>746</v>
      </c>
      <c r="C410" t="s">
        <v>747</v>
      </c>
      <c r="D410" t="s">
        <v>73</v>
      </c>
      <c r="E410" t="s">
        <v>1807</v>
      </c>
      <c r="F410" t="s">
        <v>1837</v>
      </c>
    </row>
    <row r="411" spans="1:7" x14ac:dyDescent="0.2">
      <c r="D411" t="s">
        <v>74</v>
      </c>
      <c r="E411" t="s">
        <v>1807</v>
      </c>
      <c r="F411" t="s">
        <v>1837</v>
      </c>
    </row>
    <row r="412" spans="1:7" x14ac:dyDescent="0.2">
      <c r="D412" t="s">
        <v>77</v>
      </c>
      <c r="E412" t="s">
        <v>1807</v>
      </c>
      <c r="F412" t="s">
        <v>1837</v>
      </c>
    </row>
    <row r="413" spans="1:7" x14ac:dyDescent="0.2">
      <c r="D413" t="s">
        <v>78</v>
      </c>
      <c r="E413" t="s">
        <v>1807</v>
      </c>
      <c r="F413" t="s">
        <v>1837</v>
      </c>
    </row>
    <row r="414" spans="1:7" x14ac:dyDescent="0.2">
      <c r="D414" t="s">
        <v>79</v>
      </c>
      <c r="E414" t="s">
        <v>1807</v>
      </c>
      <c r="F414" t="s">
        <v>1837</v>
      </c>
    </row>
    <row r="415" spans="1:7" x14ac:dyDescent="0.2">
      <c r="D415" t="s">
        <v>12</v>
      </c>
      <c r="E415" t="s">
        <v>1807</v>
      </c>
      <c r="F415" t="s">
        <v>1837</v>
      </c>
    </row>
    <row r="416" spans="1:7" x14ac:dyDescent="0.2">
      <c r="D416" t="s">
        <v>81</v>
      </c>
      <c r="E416" t="s">
        <v>1807</v>
      </c>
      <c r="F416" t="s">
        <v>1837</v>
      </c>
    </row>
    <row r="417" spans="1:7" x14ac:dyDescent="0.2">
      <c r="D417" t="s">
        <v>82</v>
      </c>
      <c r="E417" t="s">
        <v>1807</v>
      </c>
      <c r="F417" t="s">
        <v>1837</v>
      </c>
    </row>
    <row r="418" spans="1:7" x14ac:dyDescent="0.2">
      <c r="D418" t="s">
        <v>84</v>
      </c>
      <c r="E418" t="s">
        <v>1807</v>
      </c>
      <c r="F418" t="s">
        <v>1837</v>
      </c>
    </row>
    <row r="419" spans="1:7" x14ac:dyDescent="0.2">
      <c r="D419" t="s">
        <v>86</v>
      </c>
      <c r="E419" t="s">
        <v>1807</v>
      </c>
      <c r="F419" t="s">
        <v>1837</v>
      </c>
    </row>
    <row r="420" spans="1:7" x14ac:dyDescent="0.2">
      <c r="C420" t="s">
        <v>748</v>
      </c>
      <c r="D420" t="s">
        <v>74</v>
      </c>
      <c r="E420" t="s">
        <v>1807</v>
      </c>
      <c r="F420" t="s">
        <v>1837</v>
      </c>
    </row>
    <row r="421" spans="1:7" x14ac:dyDescent="0.2">
      <c r="D421" t="s">
        <v>75</v>
      </c>
      <c r="E421" t="s">
        <v>1807</v>
      </c>
      <c r="F421" t="s">
        <v>1837</v>
      </c>
    </row>
    <row r="422" spans="1:7" x14ac:dyDescent="0.2">
      <c r="D422" t="s">
        <v>77</v>
      </c>
      <c r="E422" t="s">
        <v>1807</v>
      </c>
      <c r="F422" t="s">
        <v>1837</v>
      </c>
    </row>
    <row r="423" spans="1:7" x14ac:dyDescent="0.2">
      <c r="D423" t="s">
        <v>78</v>
      </c>
      <c r="E423" t="s">
        <v>1807</v>
      </c>
      <c r="F423" t="s">
        <v>1837</v>
      </c>
    </row>
    <row r="424" spans="1:7" x14ac:dyDescent="0.2">
      <c r="D424" t="s">
        <v>79</v>
      </c>
      <c r="E424" t="s">
        <v>1807</v>
      </c>
      <c r="F424" t="s">
        <v>1837</v>
      </c>
    </row>
    <row r="425" spans="1:7" x14ac:dyDescent="0.2">
      <c r="D425" t="s">
        <v>12</v>
      </c>
      <c r="E425" t="s">
        <v>1807</v>
      </c>
      <c r="F425" t="s">
        <v>1837</v>
      </c>
    </row>
    <row r="426" spans="1:7" x14ac:dyDescent="0.2">
      <c r="D426" t="s">
        <v>81</v>
      </c>
      <c r="E426" t="s">
        <v>1807</v>
      </c>
      <c r="F426" t="s">
        <v>1837</v>
      </c>
    </row>
    <row r="427" spans="1:7" x14ac:dyDescent="0.2">
      <c r="D427" t="s">
        <v>82</v>
      </c>
      <c r="E427" t="s">
        <v>1807</v>
      </c>
      <c r="F427" t="s">
        <v>1837</v>
      </c>
    </row>
    <row r="428" spans="1:7" x14ac:dyDescent="0.2">
      <c r="D428" t="s">
        <v>87</v>
      </c>
      <c r="E428" t="s">
        <v>1807</v>
      </c>
      <c r="F428" t="s">
        <v>1837</v>
      </c>
    </row>
    <row r="429" spans="1:7" x14ac:dyDescent="0.2">
      <c r="D429" t="s">
        <v>84</v>
      </c>
      <c r="E429" t="s">
        <v>1807</v>
      </c>
      <c r="F429" t="s">
        <v>1837</v>
      </c>
    </row>
    <row r="430" spans="1:7" ht="16" thickBot="1" x14ac:dyDescent="0.25">
      <c r="A430" s="26"/>
      <c r="B430" s="26"/>
      <c r="C430" s="26"/>
      <c r="D430" s="26" t="s">
        <v>86</v>
      </c>
      <c r="E430" s="26" t="s">
        <v>1807</v>
      </c>
      <c r="F430" s="26" t="s">
        <v>1837</v>
      </c>
      <c r="G430" s="26"/>
    </row>
    <row r="431" spans="1:7" x14ac:dyDescent="0.2">
      <c r="A431" s="31" t="s">
        <v>727</v>
      </c>
      <c r="B431" t="s">
        <v>728</v>
      </c>
      <c r="C431" t="s">
        <v>730</v>
      </c>
      <c r="D431" t="s">
        <v>73</v>
      </c>
      <c r="E431" t="s">
        <v>1784</v>
      </c>
      <c r="F431" t="s">
        <v>1837</v>
      </c>
    </row>
    <row r="432" spans="1:7" x14ac:dyDescent="0.2">
      <c r="D432" t="s">
        <v>75</v>
      </c>
      <c r="E432" t="s">
        <v>1784</v>
      </c>
      <c r="F432" t="s">
        <v>1837</v>
      </c>
    </row>
    <row r="433" spans="1:7" x14ac:dyDescent="0.2">
      <c r="D433" t="s">
        <v>76</v>
      </c>
      <c r="E433" t="s">
        <v>1784</v>
      </c>
      <c r="F433" t="s">
        <v>1837</v>
      </c>
    </row>
    <row r="434" spans="1:7" x14ac:dyDescent="0.2">
      <c r="D434" t="s">
        <v>79</v>
      </c>
      <c r="E434" t="s">
        <v>1784</v>
      </c>
      <c r="F434" t="s">
        <v>1837</v>
      </c>
    </row>
    <row r="435" spans="1:7" x14ac:dyDescent="0.2">
      <c r="D435" t="s">
        <v>81</v>
      </c>
      <c r="E435" t="s">
        <v>1784</v>
      </c>
      <c r="F435" t="s">
        <v>1837</v>
      </c>
    </row>
    <row r="436" spans="1:7" x14ac:dyDescent="0.2">
      <c r="D436" t="s">
        <v>86</v>
      </c>
      <c r="E436" t="s">
        <v>1784</v>
      </c>
      <c r="F436" t="s">
        <v>1837</v>
      </c>
    </row>
    <row r="437" spans="1:7" ht="16" thickBot="1" x14ac:dyDescent="0.25">
      <c r="A437" s="26"/>
      <c r="B437" s="26"/>
      <c r="C437" s="26"/>
      <c r="D437" s="26" t="s">
        <v>87</v>
      </c>
      <c r="E437" s="26" t="s">
        <v>1784</v>
      </c>
      <c r="F437" s="26" t="s">
        <v>1837</v>
      </c>
      <c r="G437" s="26"/>
    </row>
    <row r="438" spans="1:7" x14ac:dyDescent="0.2">
      <c r="A438" t="s">
        <v>1333</v>
      </c>
      <c r="B438" t="s">
        <v>1334</v>
      </c>
      <c r="C438" s="1" t="s">
        <v>1335</v>
      </c>
      <c r="D438" t="s">
        <v>73</v>
      </c>
      <c r="E438" t="s">
        <v>1879</v>
      </c>
      <c r="F438" t="s">
        <v>1802</v>
      </c>
    </row>
    <row r="439" spans="1:7" x14ac:dyDescent="0.2">
      <c r="D439" t="s">
        <v>12</v>
      </c>
      <c r="E439" t="s">
        <v>1880</v>
      </c>
      <c r="F439" t="s">
        <v>1837</v>
      </c>
    </row>
    <row r="440" spans="1:7" x14ac:dyDescent="0.2">
      <c r="D440" t="s">
        <v>81</v>
      </c>
      <c r="E440" t="s">
        <v>1881</v>
      </c>
      <c r="F440" t="s">
        <v>1837</v>
      </c>
    </row>
    <row r="441" spans="1:7" x14ac:dyDescent="0.2">
      <c r="D441" t="s">
        <v>82</v>
      </c>
      <c r="E441" t="s">
        <v>1881</v>
      </c>
      <c r="F441" t="s">
        <v>1837</v>
      </c>
    </row>
    <row r="442" spans="1:7" x14ac:dyDescent="0.2">
      <c r="D442" t="s">
        <v>84</v>
      </c>
      <c r="E442" t="s">
        <v>1882</v>
      </c>
      <c r="F442" t="s">
        <v>1842</v>
      </c>
    </row>
    <row r="443" spans="1:7" x14ac:dyDescent="0.2">
      <c r="C443" s="1" t="s">
        <v>1336</v>
      </c>
      <c r="D443" t="s">
        <v>73</v>
      </c>
      <c r="E443" t="s">
        <v>1879</v>
      </c>
      <c r="F443" t="s">
        <v>1802</v>
      </c>
    </row>
    <row r="444" spans="1:7" x14ac:dyDescent="0.2">
      <c r="D444" t="s">
        <v>76</v>
      </c>
      <c r="E444" t="s">
        <v>1881</v>
      </c>
      <c r="F444" t="s">
        <v>1837</v>
      </c>
    </row>
    <row r="445" spans="1:7" x14ac:dyDescent="0.2">
      <c r="D445" t="s">
        <v>12</v>
      </c>
      <c r="E445" t="s">
        <v>1880</v>
      </c>
      <c r="F445" t="s">
        <v>1837</v>
      </c>
    </row>
    <row r="446" spans="1:7" x14ac:dyDescent="0.2">
      <c r="D446" t="s">
        <v>81</v>
      </c>
      <c r="E446" t="s">
        <v>1881</v>
      </c>
      <c r="F446" t="s">
        <v>1837</v>
      </c>
    </row>
    <row r="447" spans="1:7" x14ac:dyDescent="0.2">
      <c r="D447" t="s">
        <v>82</v>
      </c>
      <c r="E447" t="s">
        <v>1881</v>
      </c>
      <c r="F447" t="s">
        <v>1837</v>
      </c>
    </row>
    <row r="448" spans="1:7" x14ac:dyDescent="0.2">
      <c r="D448" t="s">
        <v>84</v>
      </c>
      <c r="E448" t="s">
        <v>1882</v>
      </c>
      <c r="F448" t="s">
        <v>1883</v>
      </c>
    </row>
    <row r="449" spans="1:7" x14ac:dyDescent="0.2">
      <c r="C449" s="1" t="s">
        <v>1337</v>
      </c>
      <c r="D449" t="s">
        <v>73</v>
      </c>
      <c r="E449" t="s">
        <v>1879</v>
      </c>
      <c r="F449" t="s">
        <v>1842</v>
      </c>
    </row>
    <row r="450" spans="1:7" x14ac:dyDescent="0.2">
      <c r="D450" t="s">
        <v>76</v>
      </c>
      <c r="E450" t="s">
        <v>1881</v>
      </c>
      <c r="F450" t="s">
        <v>1837</v>
      </c>
    </row>
    <row r="451" spans="1:7" x14ac:dyDescent="0.2">
      <c r="D451" t="s">
        <v>12</v>
      </c>
      <c r="E451" t="s">
        <v>1880</v>
      </c>
      <c r="F451" t="s">
        <v>1837</v>
      </c>
    </row>
    <row r="452" spans="1:7" x14ac:dyDescent="0.2">
      <c r="D452" t="s">
        <v>81</v>
      </c>
      <c r="E452" t="s">
        <v>1881</v>
      </c>
      <c r="F452" t="s">
        <v>1837</v>
      </c>
    </row>
    <row r="453" spans="1:7" x14ac:dyDescent="0.2">
      <c r="D453" t="s">
        <v>82</v>
      </c>
      <c r="E453" t="s">
        <v>1881</v>
      </c>
      <c r="F453" t="s">
        <v>1837</v>
      </c>
    </row>
    <row r="454" spans="1:7" x14ac:dyDescent="0.2">
      <c r="D454" t="s">
        <v>83</v>
      </c>
      <c r="E454" t="s">
        <v>1882</v>
      </c>
      <c r="F454" t="s">
        <v>1842</v>
      </c>
    </row>
    <row r="455" spans="1:7" ht="16" thickBot="1" x14ac:dyDescent="0.25">
      <c r="A455" s="26"/>
      <c r="B455" s="26"/>
      <c r="C455" s="26"/>
      <c r="D455" s="26" t="s">
        <v>84</v>
      </c>
      <c r="E455" s="26" t="s">
        <v>1882</v>
      </c>
      <c r="F455" s="26" t="s">
        <v>1842</v>
      </c>
      <c r="G455" s="26"/>
    </row>
    <row r="456" spans="1:7" x14ac:dyDescent="0.2">
      <c r="A456" t="s">
        <v>1338</v>
      </c>
      <c r="B456" t="s">
        <v>1339</v>
      </c>
      <c r="C456" s="1" t="s">
        <v>1340</v>
      </c>
      <c r="D456" t="s">
        <v>72</v>
      </c>
      <c r="E456" t="s">
        <v>1784</v>
      </c>
      <c r="F456" t="s">
        <v>1837</v>
      </c>
    </row>
    <row r="457" spans="1:7" x14ac:dyDescent="0.2">
      <c r="C457" s="1" t="s">
        <v>1341</v>
      </c>
      <c r="D457" t="s">
        <v>72</v>
      </c>
      <c r="E457" t="s">
        <v>1784</v>
      </c>
      <c r="F457" t="s">
        <v>1837</v>
      </c>
    </row>
    <row r="458" spans="1:7" ht="16" thickBot="1" x14ac:dyDescent="0.25">
      <c r="A458" s="26"/>
      <c r="B458" s="26"/>
      <c r="C458" s="29" t="s">
        <v>1342</v>
      </c>
      <c r="D458" s="26" t="s">
        <v>72</v>
      </c>
      <c r="E458" s="26" t="s">
        <v>1784</v>
      </c>
      <c r="F458" s="26" t="s">
        <v>1837</v>
      </c>
      <c r="G458" s="26"/>
    </row>
    <row r="459" spans="1:7" ht="16" thickBot="1" x14ac:dyDescent="0.25">
      <c r="A459" s="30" t="s">
        <v>1347</v>
      </c>
      <c r="B459" s="30" t="s">
        <v>1348</v>
      </c>
      <c r="C459" s="34" t="s">
        <v>1349</v>
      </c>
      <c r="D459" s="30" t="s">
        <v>79</v>
      </c>
      <c r="E459" s="30" t="s">
        <v>1884</v>
      </c>
      <c r="F459" s="30" t="s">
        <v>1837</v>
      </c>
      <c r="G459" s="30"/>
    </row>
    <row r="460" spans="1:7" x14ac:dyDescent="0.2">
      <c r="A460" t="s">
        <v>1361</v>
      </c>
      <c r="B460" t="s">
        <v>1362</v>
      </c>
      <c r="C460" s="32" t="s">
        <v>1363</v>
      </c>
      <c r="D460" t="s">
        <v>72</v>
      </c>
      <c r="E460" t="s">
        <v>1784</v>
      </c>
      <c r="F460" t="s">
        <v>1837</v>
      </c>
    </row>
    <row r="461" spans="1:7" x14ac:dyDescent="0.2">
      <c r="D461" t="s">
        <v>80</v>
      </c>
      <c r="E461" t="s">
        <v>1784</v>
      </c>
      <c r="F461" t="s">
        <v>1837</v>
      </c>
    </row>
    <row r="462" spans="1:7" x14ac:dyDescent="0.2">
      <c r="D462" t="s">
        <v>12</v>
      </c>
      <c r="E462" t="s">
        <v>1784</v>
      </c>
      <c r="F462" t="s">
        <v>1837</v>
      </c>
    </row>
    <row r="463" spans="1:7" x14ac:dyDescent="0.2">
      <c r="D463" t="s">
        <v>82</v>
      </c>
      <c r="E463" t="s">
        <v>1784</v>
      </c>
      <c r="F463" t="s">
        <v>1837</v>
      </c>
    </row>
    <row r="464" spans="1:7" x14ac:dyDescent="0.2">
      <c r="D464" t="s">
        <v>77</v>
      </c>
      <c r="E464" t="s">
        <v>1885</v>
      </c>
      <c r="F464" t="s">
        <v>1802</v>
      </c>
    </row>
    <row r="465" spans="1:7" x14ac:dyDescent="0.2">
      <c r="C465" s="32" t="s">
        <v>1364</v>
      </c>
      <c r="D465" t="s">
        <v>72</v>
      </c>
      <c r="E465" t="s">
        <v>1784</v>
      </c>
      <c r="F465" t="s">
        <v>1837</v>
      </c>
    </row>
    <row r="466" spans="1:7" x14ac:dyDescent="0.2">
      <c r="D466" t="s">
        <v>77</v>
      </c>
      <c r="E466" t="s">
        <v>1784</v>
      </c>
      <c r="F466" t="s">
        <v>1837</v>
      </c>
    </row>
    <row r="467" spans="1:7" x14ac:dyDescent="0.2">
      <c r="D467" t="s">
        <v>80</v>
      </c>
      <c r="E467" t="s">
        <v>1784</v>
      </c>
      <c r="F467" t="s">
        <v>1837</v>
      </c>
    </row>
    <row r="468" spans="1:7" x14ac:dyDescent="0.2">
      <c r="D468" t="s">
        <v>82</v>
      </c>
      <c r="E468" t="s">
        <v>1784</v>
      </c>
      <c r="F468" t="s">
        <v>1837</v>
      </c>
    </row>
    <row r="469" spans="1:7" x14ac:dyDescent="0.2">
      <c r="C469" s="32" t="s">
        <v>1365</v>
      </c>
      <c r="D469" t="s">
        <v>72</v>
      </c>
      <c r="E469" t="s">
        <v>1784</v>
      </c>
      <c r="F469" t="s">
        <v>1837</v>
      </c>
    </row>
    <row r="470" spans="1:7" x14ac:dyDescent="0.2">
      <c r="D470" t="s">
        <v>80</v>
      </c>
      <c r="E470" t="s">
        <v>1784</v>
      </c>
      <c r="F470" t="s">
        <v>1837</v>
      </c>
    </row>
    <row r="471" spans="1:7" x14ac:dyDescent="0.2">
      <c r="D471" t="s">
        <v>77</v>
      </c>
      <c r="E471" t="s">
        <v>1885</v>
      </c>
      <c r="F471" t="s">
        <v>1802</v>
      </c>
    </row>
    <row r="472" spans="1:7" ht="16" thickBot="1" x14ac:dyDescent="0.25">
      <c r="A472" s="26"/>
      <c r="B472" s="26"/>
      <c r="C472" s="26"/>
      <c r="D472" s="26" t="s">
        <v>82</v>
      </c>
      <c r="E472" s="26" t="s">
        <v>1784</v>
      </c>
      <c r="F472" s="26" t="s">
        <v>1837</v>
      </c>
      <c r="G472" s="26"/>
    </row>
    <row r="473" spans="1:7" x14ac:dyDescent="0.2">
      <c r="A473" t="s">
        <v>1371</v>
      </c>
      <c r="B473" t="s">
        <v>1372</v>
      </c>
      <c r="C473" s="32" t="s">
        <v>1217</v>
      </c>
      <c r="D473" t="s">
        <v>73</v>
      </c>
      <c r="E473" t="s">
        <v>1784</v>
      </c>
      <c r="F473" t="s">
        <v>1837</v>
      </c>
      <c r="G473" t="s">
        <v>1886</v>
      </c>
    </row>
    <row r="474" spans="1:7" x14ac:dyDescent="0.2">
      <c r="D474" t="s">
        <v>86</v>
      </c>
      <c r="E474" t="s">
        <v>1784</v>
      </c>
      <c r="F474" t="s">
        <v>1837</v>
      </c>
      <c r="G474" t="s">
        <v>1886</v>
      </c>
    </row>
    <row r="475" spans="1:7" ht="16" thickBot="1" x14ac:dyDescent="0.25">
      <c r="A475" s="26"/>
      <c r="B475" s="26"/>
      <c r="C475" s="35" t="s">
        <v>1218</v>
      </c>
      <c r="D475" s="26" t="s">
        <v>86</v>
      </c>
      <c r="E475" s="26" t="s">
        <v>1784</v>
      </c>
      <c r="F475" s="26" t="s">
        <v>1837</v>
      </c>
      <c r="G475" s="26" t="s">
        <v>1886</v>
      </c>
    </row>
    <row r="476" spans="1:7" ht="16" x14ac:dyDescent="0.2">
      <c r="A476" s="25" t="s">
        <v>1373</v>
      </c>
      <c r="B476" t="s">
        <v>1374</v>
      </c>
      <c r="C476" s="32" t="s">
        <v>1375</v>
      </c>
      <c r="D476" t="s">
        <v>73</v>
      </c>
      <c r="E476" t="s">
        <v>1887</v>
      </c>
      <c r="F476" t="s">
        <v>1888</v>
      </c>
    </row>
    <row r="477" spans="1:7" x14ac:dyDescent="0.2">
      <c r="A477" s="25"/>
      <c r="C477" s="32"/>
      <c r="D477" t="s">
        <v>74</v>
      </c>
      <c r="E477" t="s">
        <v>1887</v>
      </c>
      <c r="F477" t="s">
        <v>1888</v>
      </c>
    </row>
    <row r="478" spans="1:7" x14ac:dyDescent="0.2">
      <c r="D478" t="s">
        <v>78</v>
      </c>
      <c r="E478" t="s">
        <v>1887</v>
      </c>
      <c r="F478" t="s">
        <v>1888</v>
      </c>
    </row>
    <row r="479" spans="1:7" x14ac:dyDescent="0.2">
      <c r="D479" t="s">
        <v>79</v>
      </c>
      <c r="E479" t="s">
        <v>1887</v>
      </c>
      <c r="F479" t="s">
        <v>1888</v>
      </c>
    </row>
    <row r="480" spans="1:7" x14ac:dyDescent="0.2">
      <c r="D480" t="s">
        <v>81</v>
      </c>
      <c r="E480" t="s">
        <v>1887</v>
      </c>
      <c r="F480" t="s">
        <v>1888</v>
      </c>
    </row>
    <row r="481" spans="3:6" x14ac:dyDescent="0.2">
      <c r="D481" t="s">
        <v>83</v>
      </c>
      <c r="E481" t="s">
        <v>1887</v>
      </c>
      <c r="F481" t="s">
        <v>1888</v>
      </c>
    </row>
    <row r="482" spans="3:6" x14ac:dyDescent="0.2">
      <c r="D482" t="s">
        <v>86</v>
      </c>
      <c r="E482" t="s">
        <v>1887</v>
      </c>
      <c r="F482" t="s">
        <v>1888</v>
      </c>
    </row>
    <row r="483" spans="3:6" x14ac:dyDescent="0.2">
      <c r="C483" s="32" t="s">
        <v>1376</v>
      </c>
      <c r="D483" t="s">
        <v>74</v>
      </c>
      <c r="E483" t="s">
        <v>1887</v>
      </c>
      <c r="F483" t="s">
        <v>1888</v>
      </c>
    </row>
    <row r="484" spans="3:6" x14ac:dyDescent="0.2">
      <c r="D484" t="s">
        <v>76</v>
      </c>
      <c r="E484" t="s">
        <v>1887</v>
      </c>
      <c r="F484" t="s">
        <v>1888</v>
      </c>
    </row>
    <row r="485" spans="3:6" x14ac:dyDescent="0.2">
      <c r="D485" t="s">
        <v>78</v>
      </c>
      <c r="E485" t="s">
        <v>1887</v>
      </c>
      <c r="F485" t="s">
        <v>1888</v>
      </c>
    </row>
    <row r="486" spans="3:6" x14ac:dyDescent="0.2">
      <c r="D486" t="s">
        <v>81</v>
      </c>
      <c r="E486" t="s">
        <v>1887</v>
      </c>
      <c r="F486" t="s">
        <v>1888</v>
      </c>
    </row>
    <row r="487" spans="3:6" x14ac:dyDescent="0.2">
      <c r="D487" t="s">
        <v>83</v>
      </c>
      <c r="E487" t="s">
        <v>1887</v>
      </c>
      <c r="F487" t="s">
        <v>1888</v>
      </c>
    </row>
    <row r="488" spans="3:6" x14ac:dyDescent="0.2">
      <c r="D488" t="s">
        <v>84</v>
      </c>
      <c r="E488" t="s">
        <v>1887</v>
      </c>
      <c r="F488" t="s">
        <v>1888</v>
      </c>
    </row>
    <row r="489" spans="3:6" x14ac:dyDescent="0.2">
      <c r="D489" t="s">
        <v>86</v>
      </c>
      <c r="E489" t="s">
        <v>1887</v>
      </c>
      <c r="F489" t="s">
        <v>1888</v>
      </c>
    </row>
    <row r="490" spans="3:6" x14ac:dyDescent="0.2">
      <c r="C490" s="32" t="s">
        <v>1377</v>
      </c>
      <c r="D490" t="s">
        <v>74</v>
      </c>
      <c r="E490" t="s">
        <v>1887</v>
      </c>
      <c r="F490" t="s">
        <v>1888</v>
      </c>
    </row>
    <row r="491" spans="3:6" x14ac:dyDescent="0.2">
      <c r="D491" t="s">
        <v>81</v>
      </c>
      <c r="E491" t="s">
        <v>1887</v>
      </c>
      <c r="F491" t="s">
        <v>1888</v>
      </c>
    </row>
    <row r="492" spans="3:6" x14ac:dyDescent="0.2">
      <c r="D492" t="s">
        <v>82</v>
      </c>
      <c r="E492" t="s">
        <v>1887</v>
      </c>
      <c r="F492" t="s">
        <v>1888</v>
      </c>
    </row>
    <row r="493" spans="3:6" x14ac:dyDescent="0.2">
      <c r="D493" t="s">
        <v>83</v>
      </c>
      <c r="E493" t="s">
        <v>1887</v>
      </c>
      <c r="F493" t="s">
        <v>1888</v>
      </c>
    </row>
    <row r="494" spans="3:6" x14ac:dyDescent="0.2">
      <c r="D494" t="s">
        <v>84</v>
      </c>
      <c r="E494" t="s">
        <v>1887</v>
      </c>
      <c r="F494" t="s">
        <v>1888</v>
      </c>
    </row>
    <row r="495" spans="3:6" x14ac:dyDescent="0.2">
      <c r="D495" t="s">
        <v>86</v>
      </c>
      <c r="E495" t="s">
        <v>1887</v>
      </c>
      <c r="F495" t="s">
        <v>1888</v>
      </c>
    </row>
    <row r="496" spans="3:6" x14ac:dyDescent="0.2">
      <c r="C496" s="32" t="s">
        <v>1378</v>
      </c>
      <c r="D496" t="s">
        <v>74</v>
      </c>
      <c r="E496" t="s">
        <v>1887</v>
      </c>
      <c r="F496" t="s">
        <v>1888</v>
      </c>
    </row>
    <row r="497" spans="1:7" x14ac:dyDescent="0.2">
      <c r="D497" t="s">
        <v>76</v>
      </c>
      <c r="E497" t="s">
        <v>1887</v>
      </c>
      <c r="F497" t="s">
        <v>1888</v>
      </c>
    </row>
    <row r="498" spans="1:7" x14ac:dyDescent="0.2">
      <c r="D498" t="s">
        <v>77</v>
      </c>
      <c r="E498" t="s">
        <v>1887</v>
      </c>
      <c r="F498" t="s">
        <v>1888</v>
      </c>
    </row>
    <row r="499" spans="1:7" x14ac:dyDescent="0.2">
      <c r="D499" t="s">
        <v>78</v>
      </c>
      <c r="E499" t="s">
        <v>1887</v>
      </c>
      <c r="F499" t="s">
        <v>1888</v>
      </c>
    </row>
    <row r="500" spans="1:7" x14ac:dyDescent="0.2">
      <c r="D500" t="s">
        <v>81</v>
      </c>
      <c r="E500" t="s">
        <v>1887</v>
      </c>
      <c r="F500" t="s">
        <v>1888</v>
      </c>
    </row>
    <row r="501" spans="1:7" x14ac:dyDescent="0.2">
      <c r="D501" t="s">
        <v>83</v>
      </c>
      <c r="E501" t="s">
        <v>1887</v>
      </c>
      <c r="F501" t="s">
        <v>1888</v>
      </c>
    </row>
    <row r="502" spans="1:7" x14ac:dyDescent="0.2">
      <c r="D502" t="s">
        <v>84</v>
      </c>
      <c r="E502" t="s">
        <v>1887</v>
      </c>
      <c r="F502" t="s">
        <v>1888</v>
      </c>
    </row>
    <row r="503" spans="1:7" x14ac:dyDescent="0.2">
      <c r="D503" t="s">
        <v>86</v>
      </c>
      <c r="E503" t="s">
        <v>1887</v>
      </c>
      <c r="F503" t="s">
        <v>1888</v>
      </c>
    </row>
    <row r="504" spans="1:7" x14ac:dyDescent="0.2">
      <c r="C504" t="s">
        <v>1379</v>
      </c>
      <c r="D504" t="s">
        <v>73</v>
      </c>
      <c r="E504" t="s">
        <v>1887</v>
      </c>
      <c r="F504" t="s">
        <v>1888</v>
      </c>
    </row>
    <row r="505" spans="1:7" x14ac:dyDescent="0.2">
      <c r="D505" t="s">
        <v>78</v>
      </c>
      <c r="E505" t="s">
        <v>1887</v>
      </c>
      <c r="F505" t="s">
        <v>1888</v>
      </c>
    </row>
    <row r="506" spans="1:7" x14ac:dyDescent="0.2">
      <c r="D506" t="s">
        <v>79</v>
      </c>
      <c r="E506" t="s">
        <v>1887</v>
      </c>
      <c r="F506" t="s">
        <v>1888</v>
      </c>
    </row>
    <row r="507" spans="1:7" x14ac:dyDescent="0.2">
      <c r="D507" t="s">
        <v>81</v>
      </c>
      <c r="E507" t="s">
        <v>1887</v>
      </c>
      <c r="F507" t="s">
        <v>1888</v>
      </c>
    </row>
    <row r="508" spans="1:7" x14ac:dyDescent="0.2">
      <c r="D508" t="s">
        <v>83</v>
      </c>
      <c r="E508" t="s">
        <v>1887</v>
      </c>
      <c r="F508" t="s">
        <v>1888</v>
      </c>
    </row>
    <row r="509" spans="1:7" x14ac:dyDescent="0.2">
      <c r="D509" t="s">
        <v>84</v>
      </c>
      <c r="E509" t="s">
        <v>1887</v>
      </c>
      <c r="F509" t="s">
        <v>1888</v>
      </c>
    </row>
    <row r="510" spans="1:7" ht="16" thickBot="1" x14ac:dyDescent="0.25">
      <c r="A510" s="26"/>
      <c r="B510" s="26"/>
      <c r="C510" s="26"/>
      <c r="D510" s="26" t="s">
        <v>86</v>
      </c>
      <c r="E510" s="26" t="s">
        <v>1887</v>
      </c>
      <c r="F510" s="26" t="s">
        <v>1888</v>
      </c>
      <c r="G510" s="26"/>
    </row>
    <row r="511" spans="1:7" x14ac:dyDescent="0.2">
      <c r="A511" t="s">
        <v>1382</v>
      </c>
      <c r="B511" t="s">
        <v>1383</v>
      </c>
      <c r="C511" s="32" t="s">
        <v>605</v>
      </c>
      <c r="D511" t="s">
        <v>72</v>
      </c>
      <c r="E511" t="s">
        <v>1784</v>
      </c>
      <c r="F511" t="s">
        <v>1837</v>
      </c>
    </row>
    <row r="512" spans="1:7" x14ac:dyDescent="0.2">
      <c r="D512" t="s">
        <v>80</v>
      </c>
      <c r="E512" t="s">
        <v>1784</v>
      </c>
      <c r="F512" t="s">
        <v>1837</v>
      </c>
    </row>
    <row r="513" spans="1:7" x14ac:dyDescent="0.2">
      <c r="D513" t="s">
        <v>82</v>
      </c>
      <c r="E513" t="s">
        <v>1784</v>
      </c>
      <c r="F513" t="s">
        <v>1837</v>
      </c>
    </row>
    <row r="514" spans="1:7" x14ac:dyDescent="0.2">
      <c r="D514" t="s">
        <v>86</v>
      </c>
      <c r="E514" t="s">
        <v>1784</v>
      </c>
      <c r="F514" t="s">
        <v>1837</v>
      </c>
    </row>
    <row r="515" spans="1:7" x14ac:dyDescent="0.2">
      <c r="D515" t="s">
        <v>87</v>
      </c>
      <c r="E515" t="s">
        <v>1784</v>
      </c>
      <c r="F515" t="s">
        <v>1837</v>
      </c>
    </row>
    <row r="516" spans="1:7" x14ac:dyDescent="0.2">
      <c r="C516" s="32" t="s">
        <v>606</v>
      </c>
      <c r="D516" t="s">
        <v>72</v>
      </c>
      <c r="E516" t="s">
        <v>1784</v>
      </c>
      <c r="F516" t="s">
        <v>1837</v>
      </c>
    </row>
    <row r="517" spans="1:7" x14ac:dyDescent="0.2">
      <c r="D517" t="s">
        <v>80</v>
      </c>
      <c r="E517" t="s">
        <v>1784</v>
      </c>
      <c r="F517" t="s">
        <v>1837</v>
      </c>
    </row>
    <row r="518" spans="1:7" x14ac:dyDescent="0.2">
      <c r="D518" t="s">
        <v>82</v>
      </c>
      <c r="E518" t="s">
        <v>1784</v>
      </c>
      <c r="F518" t="s">
        <v>1837</v>
      </c>
    </row>
    <row r="519" spans="1:7" x14ac:dyDescent="0.2">
      <c r="D519" t="s">
        <v>86</v>
      </c>
      <c r="E519" t="s">
        <v>1784</v>
      </c>
      <c r="F519" t="s">
        <v>1837</v>
      </c>
    </row>
    <row r="520" spans="1:7" x14ac:dyDescent="0.2">
      <c r="C520" s="32" t="s">
        <v>607</v>
      </c>
      <c r="D520" t="s">
        <v>72</v>
      </c>
      <c r="E520" t="s">
        <v>1784</v>
      </c>
      <c r="F520" t="s">
        <v>1837</v>
      </c>
    </row>
    <row r="521" spans="1:7" x14ac:dyDescent="0.2">
      <c r="D521" t="s">
        <v>80</v>
      </c>
      <c r="E521" t="s">
        <v>1784</v>
      </c>
      <c r="F521" t="s">
        <v>1837</v>
      </c>
    </row>
    <row r="522" spans="1:7" x14ac:dyDescent="0.2">
      <c r="D522" t="s">
        <v>82</v>
      </c>
      <c r="E522" t="s">
        <v>1784</v>
      </c>
      <c r="F522" t="s">
        <v>1837</v>
      </c>
    </row>
    <row r="523" spans="1:7" x14ac:dyDescent="0.2">
      <c r="D523" t="s">
        <v>86</v>
      </c>
      <c r="E523" t="s">
        <v>1784</v>
      </c>
      <c r="F523" t="s">
        <v>1837</v>
      </c>
    </row>
    <row r="524" spans="1:7" x14ac:dyDescent="0.2">
      <c r="C524" t="s">
        <v>1384</v>
      </c>
      <c r="D524" t="s">
        <v>72</v>
      </c>
      <c r="E524" t="s">
        <v>1784</v>
      </c>
      <c r="F524" t="s">
        <v>1837</v>
      </c>
    </row>
    <row r="525" spans="1:7" x14ac:dyDescent="0.2">
      <c r="D525" t="s">
        <v>12</v>
      </c>
      <c r="E525" t="s">
        <v>1784</v>
      </c>
      <c r="F525" t="s">
        <v>1837</v>
      </c>
    </row>
    <row r="526" spans="1:7" x14ac:dyDescent="0.2">
      <c r="C526" t="s">
        <v>1385</v>
      </c>
      <c r="D526" t="s">
        <v>72</v>
      </c>
      <c r="E526" t="s">
        <v>1784</v>
      </c>
      <c r="F526" t="s">
        <v>1837</v>
      </c>
    </row>
    <row r="527" spans="1:7" ht="16" thickBot="1" x14ac:dyDescent="0.25">
      <c r="A527" s="26"/>
      <c r="B527" s="26"/>
      <c r="C527" s="26"/>
      <c r="D527" s="26" t="s">
        <v>12</v>
      </c>
      <c r="E527" s="26" t="s">
        <v>1784</v>
      </c>
      <c r="F527" s="26" t="s">
        <v>1837</v>
      </c>
      <c r="G527" s="26"/>
    </row>
    <row r="528" spans="1:7" ht="16" x14ac:dyDescent="0.2">
      <c r="A528" s="25" t="s">
        <v>1415</v>
      </c>
      <c r="B528" t="s">
        <v>1416</v>
      </c>
      <c r="C528" t="s">
        <v>1417</v>
      </c>
      <c r="D528" t="s">
        <v>72</v>
      </c>
      <c r="E528" t="s">
        <v>1889</v>
      </c>
      <c r="F528" t="s">
        <v>1837</v>
      </c>
    </row>
    <row r="529" spans="1:7" x14ac:dyDescent="0.2">
      <c r="D529" t="s">
        <v>79</v>
      </c>
      <c r="E529" t="s">
        <v>1889</v>
      </c>
      <c r="F529" t="s">
        <v>1837</v>
      </c>
    </row>
    <row r="530" spans="1:7" x14ac:dyDescent="0.2">
      <c r="D530" t="s">
        <v>80</v>
      </c>
      <c r="E530" t="s">
        <v>1889</v>
      </c>
      <c r="F530" t="s">
        <v>1837</v>
      </c>
    </row>
    <row r="531" spans="1:7" x14ac:dyDescent="0.2">
      <c r="D531" t="s">
        <v>74</v>
      </c>
      <c r="E531" t="s">
        <v>1890</v>
      </c>
      <c r="F531" t="s">
        <v>1795</v>
      </c>
    </row>
    <row r="532" spans="1:7" x14ac:dyDescent="0.2">
      <c r="D532" t="s">
        <v>77</v>
      </c>
      <c r="E532" t="s">
        <v>1890</v>
      </c>
      <c r="F532" t="s">
        <v>1795</v>
      </c>
    </row>
    <row r="533" spans="1:7" x14ac:dyDescent="0.2">
      <c r="D533" t="s">
        <v>12</v>
      </c>
      <c r="E533" t="s">
        <v>1890</v>
      </c>
      <c r="F533" t="s">
        <v>1795</v>
      </c>
    </row>
    <row r="534" spans="1:7" x14ac:dyDescent="0.2">
      <c r="D534" t="s">
        <v>82</v>
      </c>
      <c r="E534" t="s">
        <v>1890</v>
      </c>
      <c r="F534" t="s">
        <v>1795</v>
      </c>
    </row>
    <row r="535" spans="1:7" x14ac:dyDescent="0.2">
      <c r="D535" t="s">
        <v>86</v>
      </c>
      <c r="E535" t="s">
        <v>1890</v>
      </c>
      <c r="F535" t="s">
        <v>1795</v>
      </c>
    </row>
    <row r="536" spans="1:7" ht="16" thickBot="1" x14ac:dyDescent="0.25">
      <c r="A536" s="26"/>
      <c r="B536" s="26"/>
      <c r="C536" s="26"/>
      <c r="D536" s="26" t="s">
        <v>87</v>
      </c>
      <c r="E536" s="26" t="s">
        <v>1890</v>
      </c>
      <c r="F536" s="26" t="s">
        <v>1795</v>
      </c>
      <c r="G536" s="26"/>
    </row>
    <row r="537" spans="1:7" ht="16" x14ac:dyDescent="0.2">
      <c r="A537" s="25" t="s">
        <v>1419</v>
      </c>
      <c r="B537" t="s">
        <v>1420</v>
      </c>
      <c r="C537" t="s">
        <v>1422</v>
      </c>
      <c r="D537" t="s">
        <v>73</v>
      </c>
      <c r="E537" t="s">
        <v>1891</v>
      </c>
      <c r="F537" t="s">
        <v>1837</v>
      </c>
    </row>
    <row r="538" spans="1:7" x14ac:dyDescent="0.2">
      <c r="D538" t="s">
        <v>12</v>
      </c>
      <c r="E538" t="s">
        <v>1891</v>
      </c>
      <c r="F538" t="s">
        <v>1837</v>
      </c>
    </row>
    <row r="539" spans="1:7" x14ac:dyDescent="0.2">
      <c r="D539" t="s">
        <v>81</v>
      </c>
      <c r="E539" t="s">
        <v>1891</v>
      </c>
      <c r="F539" t="s">
        <v>1837</v>
      </c>
    </row>
    <row r="540" spans="1:7" x14ac:dyDescent="0.2">
      <c r="D540" t="s">
        <v>84</v>
      </c>
      <c r="E540" t="s">
        <v>1891</v>
      </c>
      <c r="F540" t="s">
        <v>1837</v>
      </c>
    </row>
    <row r="541" spans="1:7" x14ac:dyDescent="0.2">
      <c r="D541" t="s">
        <v>85</v>
      </c>
      <c r="E541" t="s">
        <v>1891</v>
      </c>
      <c r="F541" t="s">
        <v>1837</v>
      </c>
    </row>
    <row r="542" spans="1:7" x14ac:dyDescent="0.2">
      <c r="C542" t="s">
        <v>1423</v>
      </c>
      <c r="D542" t="s">
        <v>73</v>
      </c>
      <c r="E542" t="s">
        <v>1891</v>
      </c>
      <c r="F542" t="s">
        <v>1837</v>
      </c>
    </row>
    <row r="543" spans="1:7" x14ac:dyDescent="0.2">
      <c r="D543" t="s">
        <v>12</v>
      </c>
      <c r="E543" t="s">
        <v>1891</v>
      </c>
      <c r="F543" t="s">
        <v>1837</v>
      </c>
    </row>
    <row r="544" spans="1:7" x14ac:dyDescent="0.2">
      <c r="D544" t="s">
        <v>81</v>
      </c>
      <c r="E544" t="s">
        <v>1891</v>
      </c>
      <c r="F544" t="s">
        <v>1837</v>
      </c>
    </row>
    <row r="545" spans="1:7" x14ac:dyDescent="0.2">
      <c r="D545" t="s">
        <v>85</v>
      </c>
      <c r="E545" t="s">
        <v>1891</v>
      </c>
      <c r="F545" t="s">
        <v>1837</v>
      </c>
    </row>
    <row r="546" spans="1:7" x14ac:dyDescent="0.2">
      <c r="C546" t="s">
        <v>1424</v>
      </c>
      <c r="D546" t="s">
        <v>73</v>
      </c>
      <c r="E546" t="s">
        <v>1891</v>
      </c>
      <c r="F546" t="s">
        <v>1837</v>
      </c>
    </row>
    <row r="547" spans="1:7" x14ac:dyDescent="0.2">
      <c r="D547" t="s">
        <v>78</v>
      </c>
      <c r="E547" t="s">
        <v>1891</v>
      </c>
      <c r="F547" t="s">
        <v>1837</v>
      </c>
    </row>
    <row r="548" spans="1:7" x14ac:dyDescent="0.2">
      <c r="D548" t="s">
        <v>12</v>
      </c>
      <c r="E548" t="s">
        <v>1891</v>
      </c>
      <c r="F548" t="s">
        <v>1837</v>
      </c>
    </row>
    <row r="549" spans="1:7" x14ac:dyDescent="0.2">
      <c r="D549" t="s">
        <v>81</v>
      </c>
      <c r="E549" t="s">
        <v>1891</v>
      </c>
      <c r="F549" t="s">
        <v>1837</v>
      </c>
    </row>
    <row r="550" spans="1:7" x14ac:dyDescent="0.2">
      <c r="D550" t="s">
        <v>85</v>
      </c>
      <c r="E550" t="s">
        <v>1891</v>
      </c>
      <c r="F550" t="s">
        <v>1837</v>
      </c>
    </row>
    <row r="551" spans="1:7" x14ac:dyDescent="0.2">
      <c r="C551" t="s">
        <v>1425</v>
      </c>
      <c r="D551" t="s">
        <v>12</v>
      </c>
      <c r="E551" t="s">
        <v>1891</v>
      </c>
      <c r="F551" t="s">
        <v>1837</v>
      </c>
    </row>
    <row r="552" spans="1:7" x14ac:dyDescent="0.2">
      <c r="D552" t="s">
        <v>83</v>
      </c>
      <c r="E552" t="s">
        <v>1891</v>
      </c>
      <c r="F552" t="s">
        <v>1837</v>
      </c>
    </row>
    <row r="553" spans="1:7" x14ac:dyDescent="0.2">
      <c r="D553" t="s">
        <v>85</v>
      </c>
      <c r="E553" t="s">
        <v>1891</v>
      </c>
      <c r="F553" t="s">
        <v>1837</v>
      </c>
    </row>
    <row r="554" spans="1:7" ht="16" thickBot="1" x14ac:dyDescent="0.25">
      <c r="A554" s="26"/>
      <c r="B554" s="26"/>
      <c r="C554" s="26"/>
      <c r="D554" s="26" t="s">
        <v>73</v>
      </c>
      <c r="E554" s="26" t="s">
        <v>1892</v>
      </c>
      <c r="F554" s="26" t="s">
        <v>1795</v>
      </c>
      <c r="G554" s="26"/>
    </row>
    <row r="555" spans="1:7" x14ac:dyDescent="0.2">
      <c r="A555" t="s">
        <v>1426</v>
      </c>
      <c r="B555" t="s">
        <v>1427</v>
      </c>
      <c r="C555" t="s">
        <v>1429</v>
      </c>
      <c r="D555" t="s">
        <v>72</v>
      </c>
      <c r="E555" t="s">
        <v>1784</v>
      </c>
      <c r="F555" t="s">
        <v>1837</v>
      </c>
    </row>
    <row r="556" spans="1:7" x14ac:dyDescent="0.2">
      <c r="D556" t="s">
        <v>73</v>
      </c>
      <c r="E556" t="s">
        <v>1784</v>
      </c>
      <c r="F556" t="s">
        <v>1837</v>
      </c>
    </row>
    <row r="557" spans="1:7" x14ac:dyDescent="0.2">
      <c r="D557" t="s">
        <v>75</v>
      </c>
      <c r="E557" t="s">
        <v>1784</v>
      </c>
      <c r="F557" t="s">
        <v>1837</v>
      </c>
    </row>
    <row r="558" spans="1:7" x14ac:dyDescent="0.2">
      <c r="D558" t="s">
        <v>78</v>
      </c>
      <c r="E558" t="s">
        <v>1784</v>
      </c>
      <c r="F558" t="s">
        <v>1837</v>
      </c>
    </row>
    <row r="559" spans="1:7" x14ac:dyDescent="0.2">
      <c r="D559" t="s">
        <v>79</v>
      </c>
      <c r="E559" t="s">
        <v>1784</v>
      </c>
      <c r="F559" t="s">
        <v>1837</v>
      </c>
    </row>
    <row r="560" spans="1:7" x14ac:dyDescent="0.2">
      <c r="D560" t="s">
        <v>12</v>
      </c>
      <c r="E560" t="s">
        <v>1784</v>
      </c>
      <c r="F560" t="s">
        <v>1837</v>
      </c>
    </row>
    <row r="561" spans="1:7" x14ac:dyDescent="0.2">
      <c r="D561" t="s">
        <v>82</v>
      </c>
      <c r="E561" t="s">
        <v>1784</v>
      </c>
      <c r="F561" t="s">
        <v>1837</v>
      </c>
    </row>
    <row r="562" spans="1:7" x14ac:dyDescent="0.2">
      <c r="D562" t="s">
        <v>84</v>
      </c>
      <c r="E562" t="s">
        <v>1784</v>
      </c>
      <c r="F562" t="s">
        <v>1837</v>
      </c>
    </row>
    <row r="563" spans="1:7" x14ac:dyDescent="0.2">
      <c r="D563" t="s">
        <v>87</v>
      </c>
      <c r="E563" t="s">
        <v>1784</v>
      </c>
      <c r="F563" t="s">
        <v>1837</v>
      </c>
    </row>
    <row r="564" spans="1:7" x14ac:dyDescent="0.2">
      <c r="C564" t="s">
        <v>1430</v>
      </c>
      <c r="D564" t="s">
        <v>72</v>
      </c>
      <c r="E564" t="s">
        <v>1784</v>
      </c>
      <c r="F564" t="s">
        <v>1837</v>
      </c>
    </row>
    <row r="565" spans="1:7" x14ac:dyDescent="0.2">
      <c r="D565" t="s">
        <v>73</v>
      </c>
      <c r="E565" t="s">
        <v>1784</v>
      </c>
      <c r="F565" t="s">
        <v>1837</v>
      </c>
    </row>
    <row r="566" spans="1:7" x14ac:dyDescent="0.2">
      <c r="D566" t="s">
        <v>78</v>
      </c>
      <c r="E566" t="s">
        <v>1784</v>
      </c>
      <c r="F566" t="s">
        <v>1837</v>
      </c>
    </row>
    <row r="567" spans="1:7" x14ac:dyDescent="0.2">
      <c r="D567" t="s">
        <v>79</v>
      </c>
      <c r="E567" t="s">
        <v>1784</v>
      </c>
      <c r="F567" t="s">
        <v>1837</v>
      </c>
    </row>
    <row r="568" spans="1:7" x14ac:dyDescent="0.2">
      <c r="D568" t="s">
        <v>1893</v>
      </c>
      <c r="E568" t="s">
        <v>1784</v>
      </c>
      <c r="F568" t="s">
        <v>1837</v>
      </c>
    </row>
    <row r="569" spans="1:7" x14ac:dyDescent="0.2">
      <c r="D569" t="s">
        <v>81</v>
      </c>
      <c r="E569" t="s">
        <v>1784</v>
      </c>
      <c r="F569" t="s">
        <v>1837</v>
      </c>
    </row>
    <row r="570" spans="1:7" x14ac:dyDescent="0.2">
      <c r="D570" t="s">
        <v>87</v>
      </c>
      <c r="E570" t="s">
        <v>1784</v>
      </c>
      <c r="F570" t="s">
        <v>1837</v>
      </c>
    </row>
    <row r="571" spans="1:7" x14ac:dyDescent="0.2">
      <c r="C571" t="s">
        <v>1431</v>
      </c>
      <c r="D571" t="s">
        <v>72</v>
      </c>
      <c r="E571" t="s">
        <v>1784</v>
      </c>
      <c r="F571" t="s">
        <v>1837</v>
      </c>
    </row>
    <row r="572" spans="1:7" x14ac:dyDescent="0.2">
      <c r="D572" t="s">
        <v>78</v>
      </c>
      <c r="E572" t="s">
        <v>1784</v>
      </c>
      <c r="F572" t="s">
        <v>1837</v>
      </c>
    </row>
    <row r="573" spans="1:7" x14ac:dyDescent="0.2">
      <c r="D573" t="s">
        <v>79</v>
      </c>
      <c r="E573" t="s">
        <v>1784</v>
      </c>
      <c r="F573" t="s">
        <v>1837</v>
      </c>
    </row>
    <row r="574" spans="1:7" x14ac:dyDescent="0.2">
      <c r="D574" t="s">
        <v>12</v>
      </c>
      <c r="E574" t="s">
        <v>1784</v>
      </c>
      <c r="F574" t="s">
        <v>1837</v>
      </c>
    </row>
    <row r="575" spans="1:7" ht="16" thickBot="1" x14ac:dyDescent="0.25">
      <c r="A575" s="26"/>
      <c r="B575" s="26"/>
      <c r="C575" s="26"/>
      <c r="D575" s="26" t="s">
        <v>87</v>
      </c>
      <c r="E575" s="26" t="s">
        <v>1784</v>
      </c>
      <c r="F575" s="26" t="s">
        <v>1837</v>
      </c>
      <c r="G575" s="26"/>
    </row>
    <row r="576" spans="1:7" x14ac:dyDescent="0.2">
      <c r="A576" t="s">
        <v>1432</v>
      </c>
      <c r="B576" t="s">
        <v>1433</v>
      </c>
      <c r="C576" t="s">
        <v>1436</v>
      </c>
      <c r="D576" t="s">
        <v>83</v>
      </c>
      <c r="E576" t="s">
        <v>1784</v>
      </c>
      <c r="F576" t="s">
        <v>1837</v>
      </c>
    </row>
    <row r="577" spans="1:7" x14ac:dyDescent="0.2">
      <c r="C577" t="s">
        <v>1437</v>
      </c>
      <c r="D577" t="s">
        <v>77</v>
      </c>
      <c r="E577" t="s">
        <v>1784</v>
      </c>
      <c r="F577" t="s">
        <v>1837</v>
      </c>
    </row>
    <row r="578" spans="1:7" x14ac:dyDescent="0.2">
      <c r="D578" t="s">
        <v>83</v>
      </c>
      <c r="E578" t="s">
        <v>1784</v>
      </c>
      <c r="F578" t="s">
        <v>1837</v>
      </c>
    </row>
    <row r="579" spans="1:7" x14ac:dyDescent="0.2">
      <c r="D579" t="s">
        <v>87</v>
      </c>
      <c r="E579" t="s">
        <v>1784</v>
      </c>
      <c r="F579" t="s">
        <v>1837</v>
      </c>
    </row>
    <row r="580" spans="1:7" x14ac:dyDescent="0.2">
      <c r="C580" t="s">
        <v>1439</v>
      </c>
      <c r="D580" t="s">
        <v>83</v>
      </c>
      <c r="E580" t="s">
        <v>1784</v>
      </c>
      <c r="F580" t="s">
        <v>1837</v>
      </c>
    </row>
    <row r="581" spans="1:7" x14ac:dyDescent="0.2">
      <c r="C581" t="s">
        <v>1441</v>
      </c>
      <c r="D581" t="s">
        <v>83</v>
      </c>
      <c r="E581" t="s">
        <v>1784</v>
      </c>
      <c r="F581" t="s">
        <v>1837</v>
      </c>
    </row>
    <row r="582" spans="1:7" x14ac:dyDescent="0.2">
      <c r="C582" t="s">
        <v>1443</v>
      </c>
      <c r="D582" t="s">
        <v>83</v>
      </c>
      <c r="E582" t="s">
        <v>1784</v>
      </c>
      <c r="F582" t="s">
        <v>1837</v>
      </c>
    </row>
    <row r="583" spans="1:7" ht="16" thickBot="1" x14ac:dyDescent="0.25">
      <c r="A583" s="26"/>
      <c r="B583" s="26"/>
      <c r="C583" s="26" t="s">
        <v>1444</v>
      </c>
      <c r="D583" s="26" t="s">
        <v>12</v>
      </c>
      <c r="E583" s="26" t="s">
        <v>1784</v>
      </c>
      <c r="F583" s="26" t="s">
        <v>1837</v>
      </c>
      <c r="G583" s="26"/>
    </row>
    <row r="584" spans="1:7" ht="16" thickBot="1" x14ac:dyDescent="0.25">
      <c r="A584" s="30" t="s">
        <v>340</v>
      </c>
      <c r="B584" s="30" t="s">
        <v>341</v>
      </c>
      <c r="C584" s="30" t="s">
        <v>1452</v>
      </c>
      <c r="D584" s="30" t="s">
        <v>77</v>
      </c>
      <c r="E584" s="30" t="s">
        <v>1784</v>
      </c>
      <c r="F584" s="30" t="s">
        <v>1837</v>
      </c>
      <c r="G584" s="30"/>
    </row>
    <row r="585" spans="1:7" x14ac:dyDescent="0.2">
      <c r="A585" t="s">
        <v>1454</v>
      </c>
      <c r="B585" t="s">
        <v>1455</v>
      </c>
      <c r="C585" t="s">
        <v>1457</v>
      </c>
      <c r="D585" t="s">
        <v>72</v>
      </c>
      <c r="E585" t="s">
        <v>1880</v>
      </c>
      <c r="F585" t="s">
        <v>1837</v>
      </c>
    </row>
    <row r="586" spans="1:7" x14ac:dyDescent="0.2">
      <c r="D586" t="s">
        <v>73</v>
      </c>
      <c r="E586" t="s">
        <v>1894</v>
      </c>
      <c r="F586" t="s">
        <v>1792</v>
      </c>
    </row>
    <row r="587" spans="1:7" x14ac:dyDescent="0.2">
      <c r="D587" t="s">
        <v>75</v>
      </c>
      <c r="E587" t="s">
        <v>1895</v>
      </c>
      <c r="F587" t="s">
        <v>1802</v>
      </c>
    </row>
    <row r="588" spans="1:7" x14ac:dyDescent="0.2">
      <c r="D588" t="s">
        <v>76</v>
      </c>
      <c r="E588" t="s">
        <v>1896</v>
      </c>
      <c r="F588" t="s">
        <v>1781</v>
      </c>
    </row>
    <row r="589" spans="1:7" x14ac:dyDescent="0.2">
      <c r="D589" t="s">
        <v>77</v>
      </c>
      <c r="E589" t="s">
        <v>1880</v>
      </c>
      <c r="F589" t="s">
        <v>1837</v>
      </c>
    </row>
    <row r="590" spans="1:7" x14ac:dyDescent="0.2">
      <c r="D590" t="s">
        <v>78</v>
      </c>
      <c r="E590" t="s">
        <v>1897</v>
      </c>
      <c r="F590" t="s">
        <v>1802</v>
      </c>
    </row>
    <row r="591" spans="1:7" x14ac:dyDescent="0.2">
      <c r="D591" t="s">
        <v>79</v>
      </c>
      <c r="E591" t="s">
        <v>1894</v>
      </c>
      <c r="F591" t="s">
        <v>1792</v>
      </c>
    </row>
    <row r="592" spans="1:7" x14ac:dyDescent="0.2">
      <c r="D592" t="s">
        <v>80</v>
      </c>
      <c r="E592" t="s">
        <v>1880</v>
      </c>
      <c r="F592" t="s">
        <v>1837</v>
      </c>
    </row>
    <row r="593" spans="3:6" x14ac:dyDescent="0.2">
      <c r="D593" t="s">
        <v>81</v>
      </c>
      <c r="E593" t="s">
        <v>1880</v>
      </c>
      <c r="F593" t="s">
        <v>1837</v>
      </c>
    </row>
    <row r="594" spans="3:6" x14ac:dyDescent="0.2">
      <c r="D594" t="s">
        <v>83</v>
      </c>
      <c r="E594" t="s">
        <v>1896</v>
      </c>
      <c r="F594" t="s">
        <v>1781</v>
      </c>
    </row>
    <row r="595" spans="3:6" x14ac:dyDescent="0.2">
      <c r="D595" t="s">
        <v>84</v>
      </c>
      <c r="E595" t="s">
        <v>1896</v>
      </c>
      <c r="F595" t="s">
        <v>1781</v>
      </c>
    </row>
    <row r="596" spans="3:6" x14ac:dyDescent="0.2">
      <c r="D596" t="s">
        <v>86</v>
      </c>
      <c r="E596" t="s">
        <v>1880</v>
      </c>
      <c r="F596" t="s">
        <v>1837</v>
      </c>
    </row>
    <row r="597" spans="3:6" x14ac:dyDescent="0.2">
      <c r="C597" t="s">
        <v>1458</v>
      </c>
      <c r="D597" t="s">
        <v>72</v>
      </c>
      <c r="E597" t="s">
        <v>1880</v>
      </c>
      <c r="F597" t="s">
        <v>1837</v>
      </c>
    </row>
    <row r="598" spans="3:6" x14ac:dyDescent="0.2">
      <c r="D598" t="s">
        <v>73</v>
      </c>
      <c r="E598" t="s">
        <v>1894</v>
      </c>
      <c r="F598" t="s">
        <v>1792</v>
      </c>
    </row>
    <row r="599" spans="3:6" x14ac:dyDescent="0.2">
      <c r="D599" t="s">
        <v>75</v>
      </c>
      <c r="E599" t="s">
        <v>1895</v>
      </c>
      <c r="F599" t="s">
        <v>1802</v>
      </c>
    </row>
    <row r="600" spans="3:6" x14ac:dyDescent="0.2">
      <c r="D600" t="s">
        <v>76</v>
      </c>
      <c r="E600" t="s">
        <v>1896</v>
      </c>
      <c r="F600" t="s">
        <v>1781</v>
      </c>
    </row>
    <row r="601" spans="3:6" x14ac:dyDescent="0.2">
      <c r="D601" t="s">
        <v>77</v>
      </c>
      <c r="E601" t="s">
        <v>1880</v>
      </c>
      <c r="F601" t="s">
        <v>1837</v>
      </c>
    </row>
    <row r="602" spans="3:6" x14ac:dyDescent="0.2">
      <c r="D602" t="s">
        <v>78</v>
      </c>
      <c r="E602" t="s">
        <v>1897</v>
      </c>
      <c r="F602" t="s">
        <v>1802</v>
      </c>
    </row>
    <row r="603" spans="3:6" x14ac:dyDescent="0.2">
      <c r="D603" t="s">
        <v>79</v>
      </c>
      <c r="E603" t="s">
        <v>1894</v>
      </c>
      <c r="F603" t="s">
        <v>1792</v>
      </c>
    </row>
    <row r="604" spans="3:6" x14ac:dyDescent="0.2">
      <c r="D604" t="s">
        <v>80</v>
      </c>
      <c r="E604" t="s">
        <v>1880</v>
      </c>
      <c r="F604" t="s">
        <v>1837</v>
      </c>
    </row>
    <row r="605" spans="3:6" x14ac:dyDescent="0.2">
      <c r="D605" t="s">
        <v>81</v>
      </c>
      <c r="E605" t="s">
        <v>1898</v>
      </c>
      <c r="F605" t="s">
        <v>1781</v>
      </c>
    </row>
    <row r="606" spans="3:6" x14ac:dyDescent="0.2">
      <c r="D606" t="s">
        <v>83</v>
      </c>
      <c r="E606" t="s">
        <v>1896</v>
      </c>
      <c r="F606" t="s">
        <v>1781</v>
      </c>
    </row>
    <row r="607" spans="3:6" x14ac:dyDescent="0.2">
      <c r="D607" t="s">
        <v>84</v>
      </c>
      <c r="E607" t="s">
        <v>1896</v>
      </c>
      <c r="F607" t="s">
        <v>1781</v>
      </c>
    </row>
    <row r="608" spans="3:6" x14ac:dyDescent="0.2">
      <c r="D608" t="s">
        <v>86</v>
      </c>
      <c r="E608" t="s">
        <v>1880</v>
      </c>
      <c r="F608" t="s">
        <v>1837</v>
      </c>
    </row>
    <row r="609" spans="3:6" x14ac:dyDescent="0.2">
      <c r="C609" t="s">
        <v>1459</v>
      </c>
      <c r="D609" t="s">
        <v>72</v>
      </c>
      <c r="E609" t="s">
        <v>1880</v>
      </c>
      <c r="F609" t="s">
        <v>1837</v>
      </c>
    </row>
    <row r="610" spans="3:6" x14ac:dyDescent="0.2">
      <c r="D610" t="s">
        <v>73</v>
      </c>
      <c r="E610" t="s">
        <v>1894</v>
      </c>
      <c r="F610" t="s">
        <v>1792</v>
      </c>
    </row>
    <row r="611" spans="3:6" x14ac:dyDescent="0.2">
      <c r="D611" t="s">
        <v>75</v>
      </c>
      <c r="E611" t="s">
        <v>1899</v>
      </c>
      <c r="F611" t="s">
        <v>1802</v>
      </c>
    </row>
    <row r="612" spans="3:6" x14ac:dyDescent="0.2">
      <c r="D612" t="s">
        <v>76</v>
      </c>
      <c r="E612" t="s">
        <v>1896</v>
      </c>
      <c r="F612" t="s">
        <v>1781</v>
      </c>
    </row>
    <row r="613" spans="3:6" x14ac:dyDescent="0.2">
      <c r="D613" t="s">
        <v>77</v>
      </c>
      <c r="E613" t="s">
        <v>1880</v>
      </c>
      <c r="F613" t="s">
        <v>1837</v>
      </c>
    </row>
    <row r="614" spans="3:6" x14ac:dyDescent="0.2">
      <c r="D614" t="s">
        <v>78</v>
      </c>
      <c r="E614" t="s">
        <v>1897</v>
      </c>
      <c r="F614" t="s">
        <v>1802</v>
      </c>
    </row>
    <row r="615" spans="3:6" x14ac:dyDescent="0.2">
      <c r="D615" t="s">
        <v>79</v>
      </c>
      <c r="E615" t="s">
        <v>1894</v>
      </c>
      <c r="F615" t="s">
        <v>1792</v>
      </c>
    </row>
    <row r="616" spans="3:6" x14ac:dyDescent="0.2">
      <c r="D616" t="s">
        <v>80</v>
      </c>
      <c r="E616" t="s">
        <v>1880</v>
      </c>
      <c r="F616" t="s">
        <v>1837</v>
      </c>
    </row>
    <row r="617" spans="3:6" x14ac:dyDescent="0.2">
      <c r="D617" t="s">
        <v>81</v>
      </c>
      <c r="E617" t="s">
        <v>1898</v>
      </c>
      <c r="F617" t="s">
        <v>1781</v>
      </c>
    </row>
    <row r="618" spans="3:6" x14ac:dyDescent="0.2">
      <c r="D618" t="s">
        <v>84</v>
      </c>
      <c r="E618" t="s">
        <v>1896</v>
      </c>
      <c r="F618" t="s">
        <v>1781</v>
      </c>
    </row>
    <row r="619" spans="3:6" x14ac:dyDescent="0.2">
      <c r="D619" t="s">
        <v>86</v>
      </c>
      <c r="E619" t="s">
        <v>1880</v>
      </c>
      <c r="F619" t="s">
        <v>1837</v>
      </c>
    </row>
    <row r="620" spans="3:6" x14ac:dyDescent="0.2">
      <c r="C620" t="s">
        <v>1460</v>
      </c>
      <c r="D620" t="s">
        <v>72</v>
      </c>
      <c r="E620" t="s">
        <v>1880</v>
      </c>
      <c r="F620" t="s">
        <v>1837</v>
      </c>
    </row>
    <row r="621" spans="3:6" x14ac:dyDescent="0.2">
      <c r="D621" t="s">
        <v>73</v>
      </c>
      <c r="E621" t="s">
        <v>1900</v>
      </c>
      <c r="F621" t="s">
        <v>1792</v>
      </c>
    </row>
    <row r="622" spans="3:6" x14ac:dyDescent="0.2">
      <c r="D622" t="s">
        <v>75</v>
      </c>
      <c r="E622" t="s">
        <v>1901</v>
      </c>
      <c r="F622" t="s">
        <v>1802</v>
      </c>
    </row>
    <row r="623" spans="3:6" x14ac:dyDescent="0.2">
      <c r="D623" t="s">
        <v>76</v>
      </c>
      <c r="E623" t="s">
        <v>1896</v>
      </c>
      <c r="F623" t="s">
        <v>1781</v>
      </c>
    </row>
    <row r="624" spans="3:6" x14ac:dyDescent="0.2">
      <c r="D624" t="s">
        <v>77</v>
      </c>
      <c r="E624" t="s">
        <v>1880</v>
      </c>
      <c r="F624" t="s">
        <v>1837</v>
      </c>
    </row>
    <row r="625" spans="1:7" x14ac:dyDescent="0.2">
      <c r="D625" t="s">
        <v>78</v>
      </c>
      <c r="E625" t="s">
        <v>1902</v>
      </c>
      <c r="F625" t="s">
        <v>1802</v>
      </c>
    </row>
    <row r="626" spans="1:7" x14ac:dyDescent="0.2">
      <c r="D626" t="s">
        <v>79</v>
      </c>
      <c r="E626" t="s">
        <v>1894</v>
      </c>
      <c r="F626" t="s">
        <v>1792</v>
      </c>
    </row>
    <row r="627" spans="1:7" x14ac:dyDescent="0.2">
      <c r="D627" t="s">
        <v>80</v>
      </c>
      <c r="E627" t="s">
        <v>1880</v>
      </c>
      <c r="F627" t="s">
        <v>1837</v>
      </c>
    </row>
    <row r="628" spans="1:7" x14ac:dyDescent="0.2">
      <c r="D628" t="s">
        <v>81</v>
      </c>
      <c r="E628" t="s">
        <v>1880</v>
      </c>
      <c r="F628" t="s">
        <v>1837</v>
      </c>
    </row>
    <row r="629" spans="1:7" x14ac:dyDescent="0.2">
      <c r="D629" t="s">
        <v>83</v>
      </c>
      <c r="E629" t="s">
        <v>1896</v>
      </c>
      <c r="F629" t="s">
        <v>1781</v>
      </c>
    </row>
    <row r="630" spans="1:7" x14ac:dyDescent="0.2">
      <c r="D630" t="s">
        <v>84</v>
      </c>
      <c r="E630" t="s">
        <v>1896</v>
      </c>
      <c r="F630" t="s">
        <v>1781</v>
      </c>
    </row>
    <row r="631" spans="1:7" x14ac:dyDescent="0.2">
      <c r="D631" t="s">
        <v>86</v>
      </c>
      <c r="E631" t="s">
        <v>1880</v>
      </c>
      <c r="F631" t="s">
        <v>1837</v>
      </c>
    </row>
    <row r="632" spans="1:7" x14ac:dyDescent="0.2">
      <c r="D632" t="s">
        <v>12</v>
      </c>
      <c r="E632" t="s">
        <v>1880</v>
      </c>
      <c r="F632" t="s">
        <v>1837</v>
      </c>
    </row>
    <row r="633" spans="1:7" x14ac:dyDescent="0.2">
      <c r="C633" t="s">
        <v>1461</v>
      </c>
      <c r="D633" t="s">
        <v>73</v>
      </c>
      <c r="E633" t="s">
        <v>1843</v>
      </c>
      <c r="F633" t="s">
        <v>1837</v>
      </c>
    </row>
    <row r="634" spans="1:7" x14ac:dyDescent="0.2">
      <c r="D634" t="s">
        <v>12</v>
      </c>
      <c r="E634" t="s">
        <v>1843</v>
      </c>
      <c r="F634" t="s">
        <v>1837</v>
      </c>
    </row>
    <row r="635" spans="1:7" ht="16" thickBot="1" x14ac:dyDescent="0.25">
      <c r="A635" s="26"/>
      <c r="B635" s="26"/>
      <c r="C635" s="26"/>
      <c r="D635" s="26" t="s">
        <v>83</v>
      </c>
      <c r="E635" s="26" t="s">
        <v>1903</v>
      </c>
      <c r="F635" s="26" t="s">
        <v>1802</v>
      </c>
      <c r="G635" s="26"/>
    </row>
    <row r="636" spans="1:7" x14ac:dyDescent="0.2">
      <c r="A636" t="s">
        <v>364</v>
      </c>
      <c r="B636" t="s">
        <v>1904</v>
      </c>
      <c r="C636" t="s">
        <v>1463</v>
      </c>
      <c r="D636" t="s">
        <v>77</v>
      </c>
      <c r="E636" t="s">
        <v>1784</v>
      </c>
      <c r="F636" t="s">
        <v>1837</v>
      </c>
    </row>
    <row r="637" spans="1:7" ht="16" thickBot="1" x14ac:dyDescent="0.25">
      <c r="A637" s="26"/>
      <c r="B637" s="26"/>
      <c r="C637" s="26" t="s">
        <v>1464</v>
      </c>
      <c r="D637" s="26" t="s">
        <v>77</v>
      </c>
      <c r="E637" s="26" t="s">
        <v>1784</v>
      </c>
      <c r="F637" s="26" t="s">
        <v>1837</v>
      </c>
      <c r="G637" s="26"/>
    </row>
    <row r="638" spans="1:7" ht="16" x14ac:dyDescent="0.2">
      <c r="A638" s="25" t="s">
        <v>1481</v>
      </c>
      <c r="B638" t="s">
        <v>1482</v>
      </c>
      <c r="C638" t="s">
        <v>1484</v>
      </c>
      <c r="D638" t="s">
        <v>78</v>
      </c>
      <c r="E638" t="s">
        <v>1784</v>
      </c>
      <c r="F638" t="s">
        <v>1837</v>
      </c>
    </row>
    <row r="639" spans="1:7" x14ac:dyDescent="0.2">
      <c r="D639" t="s">
        <v>82</v>
      </c>
      <c r="E639" t="s">
        <v>1784</v>
      </c>
      <c r="F639" t="s">
        <v>1837</v>
      </c>
    </row>
    <row r="640" spans="1:7" x14ac:dyDescent="0.2">
      <c r="D640" t="s">
        <v>84</v>
      </c>
      <c r="E640" t="s">
        <v>1784</v>
      </c>
      <c r="F640" t="s">
        <v>1837</v>
      </c>
    </row>
    <row r="641" spans="1:7" x14ac:dyDescent="0.2">
      <c r="C641" t="s">
        <v>1485</v>
      </c>
      <c r="D641" t="s">
        <v>79</v>
      </c>
      <c r="E641" t="s">
        <v>1784</v>
      </c>
      <c r="F641" t="s">
        <v>1837</v>
      </c>
    </row>
    <row r="642" spans="1:7" ht="16" thickBot="1" x14ac:dyDescent="0.25">
      <c r="A642" s="26"/>
      <c r="B642" s="26"/>
      <c r="C642" s="26"/>
      <c r="D642" s="26" t="s">
        <v>87</v>
      </c>
      <c r="E642" s="26" t="s">
        <v>1784</v>
      </c>
      <c r="F642" s="26" t="s">
        <v>1837</v>
      </c>
      <c r="G642" s="26"/>
    </row>
    <row r="643" spans="1:7" x14ac:dyDescent="0.2">
      <c r="A643" t="s">
        <v>1490</v>
      </c>
      <c r="B643" t="s">
        <v>1491</v>
      </c>
      <c r="C643" t="s">
        <v>1492</v>
      </c>
      <c r="D643" t="s">
        <v>77</v>
      </c>
      <c r="E643" t="s">
        <v>1784</v>
      </c>
      <c r="F643" t="s">
        <v>1837</v>
      </c>
    </row>
    <row r="644" spans="1:7" x14ac:dyDescent="0.2">
      <c r="C644" t="s">
        <v>1493</v>
      </c>
      <c r="D644" t="s">
        <v>77</v>
      </c>
      <c r="E644" t="s">
        <v>1784</v>
      </c>
      <c r="F644" t="s">
        <v>1837</v>
      </c>
    </row>
    <row r="645" spans="1:7" x14ac:dyDescent="0.2">
      <c r="C645" t="s">
        <v>1494</v>
      </c>
      <c r="D645" t="s">
        <v>77</v>
      </c>
      <c r="E645" t="s">
        <v>1784</v>
      </c>
      <c r="F645" t="s">
        <v>1837</v>
      </c>
    </row>
    <row r="646" spans="1:7" x14ac:dyDescent="0.2">
      <c r="C646" t="s">
        <v>1492</v>
      </c>
      <c r="D646" t="s">
        <v>79</v>
      </c>
      <c r="E646" t="s">
        <v>1784</v>
      </c>
      <c r="F646" t="s">
        <v>1837</v>
      </c>
    </row>
    <row r="647" spans="1:7" ht="16" thickBot="1" x14ac:dyDescent="0.25">
      <c r="A647" s="26"/>
      <c r="B647" s="26"/>
      <c r="C647" s="26"/>
      <c r="D647" s="26" t="s">
        <v>77</v>
      </c>
      <c r="E647" s="26" t="s">
        <v>1784</v>
      </c>
      <c r="F647" s="26" t="s">
        <v>1837</v>
      </c>
      <c r="G647" s="26"/>
    </row>
    <row r="648" spans="1:7" x14ac:dyDescent="0.2">
      <c r="A648" t="s">
        <v>1517</v>
      </c>
      <c r="B648" t="s">
        <v>1518</v>
      </c>
      <c r="C648" t="s">
        <v>1520</v>
      </c>
      <c r="D648" t="s">
        <v>74</v>
      </c>
      <c r="E648" t="s">
        <v>1784</v>
      </c>
      <c r="F648" t="s">
        <v>1837</v>
      </c>
    </row>
    <row r="649" spans="1:7" x14ac:dyDescent="0.2">
      <c r="D649" t="s">
        <v>75</v>
      </c>
      <c r="E649" t="s">
        <v>1784</v>
      </c>
      <c r="F649" t="s">
        <v>1837</v>
      </c>
    </row>
    <row r="650" spans="1:7" x14ac:dyDescent="0.2">
      <c r="D650" t="s">
        <v>76</v>
      </c>
      <c r="E650" t="s">
        <v>1784</v>
      </c>
      <c r="F650" t="s">
        <v>1837</v>
      </c>
    </row>
    <row r="651" spans="1:7" x14ac:dyDescent="0.2">
      <c r="D651" t="s">
        <v>79</v>
      </c>
      <c r="E651" t="s">
        <v>1784</v>
      </c>
      <c r="F651" t="s">
        <v>1837</v>
      </c>
    </row>
    <row r="652" spans="1:7" x14ac:dyDescent="0.2">
      <c r="D652" t="s">
        <v>12</v>
      </c>
      <c r="E652" t="s">
        <v>1784</v>
      </c>
      <c r="F652" t="s">
        <v>1837</v>
      </c>
    </row>
    <row r="653" spans="1:7" x14ac:dyDescent="0.2">
      <c r="D653" t="s">
        <v>81</v>
      </c>
      <c r="E653" t="s">
        <v>1784</v>
      </c>
      <c r="F653" t="s">
        <v>1837</v>
      </c>
    </row>
    <row r="654" spans="1:7" x14ac:dyDescent="0.2">
      <c r="D654" t="s">
        <v>82</v>
      </c>
      <c r="E654" t="s">
        <v>1784</v>
      </c>
      <c r="F654" t="s">
        <v>1837</v>
      </c>
    </row>
    <row r="655" spans="1:7" x14ac:dyDescent="0.2">
      <c r="D655" t="s">
        <v>84</v>
      </c>
      <c r="E655" t="s">
        <v>1784</v>
      </c>
      <c r="F655" t="s">
        <v>1837</v>
      </c>
    </row>
    <row r="656" spans="1:7" x14ac:dyDescent="0.2">
      <c r="D656" t="s">
        <v>86</v>
      </c>
      <c r="E656" t="s">
        <v>1784</v>
      </c>
      <c r="F656" t="s">
        <v>1837</v>
      </c>
    </row>
    <row r="657" spans="3:6" x14ac:dyDescent="0.2">
      <c r="C657" t="s">
        <v>1521</v>
      </c>
      <c r="D657" t="s">
        <v>74</v>
      </c>
      <c r="E657" t="s">
        <v>1784</v>
      </c>
      <c r="F657" t="s">
        <v>1837</v>
      </c>
    </row>
    <row r="658" spans="3:6" x14ac:dyDescent="0.2">
      <c r="D658" t="s">
        <v>76</v>
      </c>
      <c r="E658" t="s">
        <v>1784</v>
      </c>
      <c r="F658" t="s">
        <v>1837</v>
      </c>
    </row>
    <row r="659" spans="3:6" x14ac:dyDescent="0.2">
      <c r="D659" t="s">
        <v>79</v>
      </c>
      <c r="E659" t="s">
        <v>1784</v>
      </c>
      <c r="F659" t="s">
        <v>1837</v>
      </c>
    </row>
    <row r="660" spans="3:6" x14ac:dyDescent="0.2">
      <c r="D660" t="s">
        <v>12</v>
      </c>
      <c r="E660" t="s">
        <v>1784</v>
      </c>
      <c r="F660" t="s">
        <v>1837</v>
      </c>
    </row>
    <row r="661" spans="3:6" x14ac:dyDescent="0.2">
      <c r="D661" t="s">
        <v>81</v>
      </c>
      <c r="E661" t="s">
        <v>1784</v>
      </c>
      <c r="F661" t="s">
        <v>1837</v>
      </c>
    </row>
    <row r="662" spans="3:6" x14ac:dyDescent="0.2">
      <c r="D662" t="s">
        <v>82</v>
      </c>
      <c r="E662" t="s">
        <v>1784</v>
      </c>
      <c r="F662" t="s">
        <v>1837</v>
      </c>
    </row>
    <row r="663" spans="3:6" x14ac:dyDescent="0.2">
      <c r="D663" t="s">
        <v>84</v>
      </c>
      <c r="E663" t="s">
        <v>1784</v>
      </c>
      <c r="F663" t="s">
        <v>1837</v>
      </c>
    </row>
    <row r="664" spans="3:6" x14ac:dyDescent="0.2">
      <c r="D664" t="s">
        <v>86</v>
      </c>
      <c r="E664" t="s">
        <v>1784</v>
      </c>
      <c r="F664" t="s">
        <v>1837</v>
      </c>
    </row>
    <row r="665" spans="3:6" x14ac:dyDescent="0.2">
      <c r="C665" t="s">
        <v>1522</v>
      </c>
      <c r="D665" t="s">
        <v>74</v>
      </c>
      <c r="E665" t="s">
        <v>1784</v>
      </c>
      <c r="F665" t="s">
        <v>1837</v>
      </c>
    </row>
    <row r="666" spans="3:6" x14ac:dyDescent="0.2">
      <c r="D666" t="s">
        <v>75</v>
      </c>
      <c r="E666" t="s">
        <v>1784</v>
      </c>
      <c r="F666" t="s">
        <v>1837</v>
      </c>
    </row>
    <row r="667" spans="3:6" x14ac:dyDescent="0.2">
      <c r="D667" t="s">
        <v>76</v>
      </c>
      <c r="E667" t="s">
        <v>1784</v>
      </c>
      <c r="F667" t="s">
        <v>1837</v>
      </c>
    </row>
    <row r="668" spans="3:6" x14ac:dyDescent="0.2">
      <c r="D668" t="s">
        <v>79</v>
      </c>
      <c r="E668" t="s">
        <v>1784</v>
      </c>
      <c r="F668" t="s">
        <v>1837</v>
      </c>
    </row>
    <row r="669" spans="3:6" x14ac:dyDescent="0.2">
      <c r="D669" t="s">
        <v>12</v>
      </c>
      <c r="E669" t="s">
        <v>1784</v>
      </c>
      <c r="F669" t="s">
        <v>1837</v>
      </c>
    </row>
    <row r="670" spans="3:6" x14ac:dyDescent="0.2">
      <c r="D670" t="s">
        <v>84</v>
      </c>
      <c r="E670" t="s">
        <v>1784</v>
      </c>
      <c r="F670" t="s">
        <v>1837</v>
      </c>
    </row>
    <row r="671" spans="3:6" x14ac:dyDescent="0.2">
      <c r="D671" t="s">
        <v>86</v>
      </c>
      <c r="E671" t="s">
        <v>1784</v>
      </c>
      <c r="F671" t="s">
        <v>1837</v>
      </c>
    </row>
    <row r="672" spans="3:6" x14ac:dyDescent="0.2">
      <c r="C672" t="s">
        <v>1523</v>
      </c>
      <c r="D672" t="s">
        <v>74</v>
      </c>
      <c r="E672" t="s">
        <v>1784</v>
      </c>
      <c r="F672" t="s">
        <v>1837</v>
      </c>
    </row>
    <row r="673" spans="3:6" x14ac:dyDescent="0.2">
      <c r="D673" t="s">
        <v>76</v>
      </c>
      <c r="E673" t="s">
        <v>1784</v>
      </c>
      <c r="F673" t="s">
        <v>1837</v>
      </c>
    </row>
    <row r="674" spans="3:6" x14ac:dyDescent="0.2">
      <c r="D674" t="s">
        <v>79</v>
      </c>
      <c r="E674" t="s">
        <v>1784</v>
      </c>
      <c r="F674" t="s">
        <v>1837</v>
      </c>
    </row>
    <row r="675" spans="3:6" x14ac:dyDescent="0.2">
      <c r="D675" t="s">
        <v>12</v>
      </c>
      <c r="E675" t="s">
        <v>1784</v>
      </c>
      <c r="F675" t="s">
        <v>1837</v>
      </c>
    </row>
    <row r="676" spans="3:6" x14ac:dyDescent="0.2">
      <c r="D676" t="s">
        <v>84</v>
      </c>
      <c r="E676" t="s">
        <v>1784</v>
      </c>
      <c r="F676" t="s">
        <v>1837</v>
      </c>
    </row>
    <row r="677" spans="3:6" x14ac:dyDescent="0.2">
      <c r="D677" t="s">
        <v>86</v>
      </c>
      <c r="E677" t="s">
        <v>1784</v>
      </c>
      <c r="F677" t="s">
        <v>1837</v>
      </c>
    </row>
    <row r="678" spans="3:6" x14ac:dyDescent="0.2">
      <c r="C678" t="s">
        <v>1524</v>
      </c>
      <c r="D678" t="s">
        <v>77</v>
      </c>
      <c r="E678" t="s">
        <v>1784</v>
      </c>
      <c r="F678" t="s">
        <v>1837</v>
      </c>
    </row>
    <row r="679" spans="3:6" x14ac:dyDescent="0.2">
      <c r="D679" t="s">
        <v>79</v>
      </c>
      <c r="E679" t="s">
        <v>1784</v>
      </c>
      <c r="F679" t="s">
        <v>1837</v>
      </c>
    </row>
    <row r="680" spans="3:6" x14ac:dyDescent="0.2">
      <c r="D680" t="s">
        <v>12</v>
      </c>
      <c r="E680" t="s">
        <v>1784</v>
      </c>
      <c r="F680" t="s">
        <v>1837</v>
      </c>
    </row>
    <row r="681" spans="3:6" x14ac:dyDescent="0.2">
      <c r="D681" t="s">
        <v>86</v>
      </c>
      <c r="E681" t="s">
        <v>1784</v>
      </c>
      <c r="F681" t="s">
        <v>1837</v>
      </c>
    </row>
    <row r="682" spans="3:6" x14ac:dyDescent="0.2">
      <c r="D682" t="s">
        <v>80</v>
      </c>
      <c r="E682" t="s">
        <v>1784</v>
      </c>
      <c r="F682" t="s">
        <v>1837</v>
      </c>
    </row>
    <row r="683" spans="3:6" x14ac:dyDescent="0.2">
      <c r="D683" t="s">
        <v>85</v>
      </c>
      <c r="E683" t="s">
        <v>1784</v>
      </c>
      <c r="F683" t="s">
        <v>1837</v>
      </c>
    </row>
    <row r="684" spans="3:6" x14ac:dyDescent="0.2">
      <c r="C684" t="s">
        <v>1525</v>
      </c>
      <c r="D684" t="s">
        <v>77</v>
      </c>
      <c r="E684" t="s">
        <v>1784</v>
      </c>
      <c r="F684" t="s">
        <v>1837</v>
      </c>
    </row>
    <row r="685" spans="3:6" x14ac:dyDescent="0.2">
      <c r="D685" t="s">
        <v>79</v>
      </c>
      <c r="E685" t="s">
        <v>1784</v>
      </c>
      <c r="F685" t="s">
        <v>1837</v>
      </c>
    </row>
    <row r="686" spans="3:6" x14ac:dyDescent="0.2">
      <c r="D686" t="s">
        <v>12</v>
      </c>
      <c r="E686" t="s">
        <v>1784</v>
      </c>
      <c r="F686" t="s">
        <v>1837</v>
      </c>
    </row>
    <row r="687" spans="3:6" x14ac:dyDescent="0.2">
      <c r="D687" t="s">
        <v>86</v>
      </c>
      <c r="E687" t="s">
        <v>1784</v>
      </c>
      <c r="F687" t="s">
        <v>1837</v>
      </c>
    </row>
    <row r="688" spans="3:6" x14ac:dyDescent="0.2">
      <c r="D688" t="s">
        <v>87</v>
      </c>
      <c r="E688" t="s">
        <v>1784</v>
      </c>
      <c r="F688" t="s">
        <v>1837</v>
      </c>
    </row>
    <row r="689" spans="3:6" x14ac:dyDescent="0.2">
      <c r="D689" t="s">
        <v>72</v>
      </c>
      <c r="E689" t="s">
        <v>1784</v>
      </c>
      <c r="F689" t="s">
        <v>1837</v>
      </c>
    </row>
    <row r="690" spans="3:6" x14ac:dyDescent="0.2">
      <c r="D690" t="s">
        <v>82</v>
      </c>
      <c r="E690" t="s">
        <v>1784</v>
      </c>
      <c r="F690" t="s">
        <v>1837</v>
      </c>
    </row>
    <row r="691" spans="3:6" x14ac:dyDescent="0.2">
      <c r="D691" t="s">
        <v>76</v>
      </c>
      <c r="E691" t="s">
        <v>1784</v>
      </c>
      <c r="F691" t="s">
        <v>1837</v>
      </c>
    </row>
    <row r="692" spans="3:6" x14ac:dyDescent="0.2">
      <c r="D692" t="s">
        <v>84</v>
      </c>
      <c r="E692" t="s">
        <v>1784</v>
      </c>
      <c r="F692" t="s">
        <v>1837</v>
      </c>
    </row>
    <row r="693" spans="3:6" x14ac:dyDescent="0.2">
      <c r="D693" t="s">
        <v>80</v>
      </c>
      <c r="E693" t="s">
        <v>1784</v>
      </c>
      <c r="F693" t="s">
        <v>1837</v>
      </c>
    </row>
    <row r="694" spans="3:6" x14ac:dyDescent="0.2">
      <c r="D694" t="s">
        <v>74</v>
      </c>
      <c r="E694" t="s">
        <v>1784</v>
      </c>
      <c r="F694" t="s">
        <v>1837</v>
      </c>
    </row>
    <row r="695" spans="3:6" x14ac:dyDescent="0.2">
      <c r="C695" t="s">
        <v>1526</v>
      </c>
      <c r="D695" t="s">
        <v>72</v>
      </c>
      <c r="E695" t="s">
        <v>1784</v>
      </c>
      <c r="F695" t="s">
        <v>1837</v>
      </c>
    </row>
    <row r="696" spans="3:6" x14ac:dyDescent="0.2">
      <c r="D696" t="s">
        <v>12</v>
      </c>
      <c r="E696" t="s">
        <v>1784</v>
      </c>
      <c r="F696" t="s">
        <v>1837</v>
      </c>
    </row>
    <row r="697" spans="3:6" x14ac:dyDescent="0.2">
      <c r="D697" t="s">
        <v>82</v>
      </c>
      <c r="E697" t="s">
        <v>1784</v>
      </c>
      <c r="F697" t="s">
        <v>1837</v>
      </c>
    </row>
    <row r="698" spans="3:6" x14ac:dyDescent="0.2">
      <c r="D698" t="s">
        <v>86</v>
      </c>
      <c r="E698" t="s">
        <v>1784</v>
      </c>
      <c r="F698" t="s">
        <v>1837</v>
      </c>
    </row>
    <row r="699" spans="3:6" x14ac:dyDescent="0.2">
      <c r="D699" t="s">
        <v>77</v>
      </c>
      <c r="E699" t="s">
        <v>1784</v>
      </c>
      <c r="F699" t="s">
        <v>1837</v>
      </c>
    </row>
    <row r="700" spans="3:6" x14ac:dyDescent="0.2">
      <c r="C700" t="s">
        <v>1527</v>
      </c>
      <c r="D700" t="s">
        <v>72</v>
      </c>
      <c r="E700" t="s">
        <v>1784</v>
      </c>
      <c r="F700" t="s">
        <v>1837</v>
      </c>
    </row>
    <row r="701" spans="3:6" x14ac:dyDescent="0.2">
      <c r="D701" t="s">
        <v>12</v>
      </c>
      <c r="E701" t="s">
        <v>1784</v>
      </c>
      <c r="F701" t="s">
        <v>1837</v>
      </c>
    </row>
    <row r="702" spans="3:6" x14ac:dyDescent="0.2">
      <c r="D702" t="s">
        <v>82</v>
      </c>
      <c r="E702" t="s">
        <v>1784</v>
      </c>
      <c r="F702" t="s">
        <v>1837</v>
      </c>
    </row>
    <row r="703" spans="3:6" x14ac:dyDescent="0.2">
      <c r="D703" t="s">
        <v>86</v>
      </c>
      <c r="E703" t="s">
        <v>1784</v>
      </c>
      <c r="F703" t="s">
        <v>1837</v>
      </c>
    </row>
    <row r="704" spans="3:6" x14ac:dyDescent="0.2">
      <c r="D704" t="s">
        <v>77</v>
      </c>
      <c r="E704" t="s">
        <v>1784</v>
      </c>
      <c r="F704" t="s">
        <v>1837</v>
      </c>
    </row>
    <row r="705" spans="1:7" x14ac:dyDescent="0.2">
      <c r="C705" t="s">
        <v>1528</v>
      </c>
      <c r="D705" t="s">
        <v>72</v>
      </c>
      <c r="E705" t="s">
        <v>1784</v>
      </c>
      <c r="F705" t="s">
        <v>1837</v>
      </c>
    </row>
    <row r="706" spans="1:7" x14ac:dyDescent="0.2">
      <c r="D706" t="s">
        <v>12</v>
      </c>
      <c r="E706" t="s">
        <v>1784</v>
      </c>
      <c r="F706" t="s">
        <v>1837</v>
      </c>
    </row>
    <row r="707" spans="1:7" x14ac:dyDescent="0.2">
      <c r="D707" t="s">
        <v>82</v>
      </c>
      <c r="E707" t="s">
        <v>1784</v>
      </c>
      <c r="F707" t="s">
        <v>1837</v>
      </c>
    </row>
    <row r="708" spans="1:7" x14ac:dyDescent="0.2">
      <c r="D708" t="s">
        <v>86</v>
      </c>
      <c r="E708" t="s">
        <v>1784</v>
      </c>
      <c r="F708" t="s">
        <v>1837</v>
      </c>
    </row>
    <row r="709" spans="1:7" x14ac:dyDescent="0.2">
      <c r="D709" t="s">
        <v>84</v>
      </c>
      <c r="E709" t="s">
        <v>1784</v>
      </c>
      <c r="F709" t="s">
        <v>1837</v>
      </c>
    </row>
    <row r="710" spans="1:7" x14ac:dyDescent="0.2">
      <c r="D710" t="s">
        <v>81</v>
      </c>
      <c r="E710" t="s">
        <v>1784</v>
      </c>
      <c r="F710" t="s">
        <v>1837</v>
      </c>
    </row>
    <row r="711" spans="1:7" x14ac:dyDescent="0.2">
      <c r="C711" t="s">
        <v>1529</v>
      </c>
      <c r="D711" t="s">
        <v>72</v>
      </c>
      <c r="E711" t="s">
        <v>1784</v>
      </c>
      <c r="F711" t="s">
        <v>1837</v>
      </c>
    </row>
    <row r="712" spans="1:7" x14ac:dyDescent="0.2">
      <c r="D712" t="s">
        <v>12</v>
      </c>
      <c r="E712" t="s">
        <v>1784</v>
      </c>
      <c r="F712" t="s">
        <v>1837</v>
      </c>
    </row>
    <row r="713" spans="1:7" x14ac:dyDescent="0.2">
      <c r="D713" t="s">
        <v>82</v>
      </c>
      <c r="E713" t="s">
        <v>1784</v>
      </c>
      <c r="F713" t="s">
        <v>1837</v>
      </c>
    </row>
    <row r="714" spans="1:7" x14ac:dyDescent="0.2">
      <c r="D714" t="s">
        <v>86</v>
      </c>
      <c r="E714" t="s">
        <v>1784</v>
      </c>
      <c r="F714" t="s">
        <v>1837</v>
      </c>
    </row>
    <row r="715" spans="1:7" x14ac:dyDescent="0.2">
      <c r="D715" t="s">
        <v>84</v>
      </c>
      <c r="E715" t="s">
        <v>1784</v>
      </c>
      <c r="F715" t="s">
        <v>1837</v>
      </c>
    </row>
    <row r="716" spans="1:7" ht="16" thickBot="1" x14ac:dyDescent="0.25">
      <c r="A716" s="26"/>
      <c r="B716" s="26"/>
      <c r="C716" s="26"/>
      <c r="D716" s="26" t="s">
        <v>81</v>
      </c>
      <c r="E716" s="26" t="s">
        <v>1784</v>
      </c>
      <c r="F716" s="26" t="s">
        <v>1837</v>
      </c>
      <c r="G716" s="26"/>
    </row>
    <row r="717" spans="1:7" ht="16" x14ac:dyDescent="0.2">
      <c r="A717" s="25" t="s">
        <v>1539</v>
      </c>
      <c r="B717" t="s">
        <v>1540</v>
      </c>
      <c r="C717" t="s">
        <v>1542</v>
      </c>
      <c r="D717" t="s">
        <v>72</v>
      </c>
      <c r="E717" t="s">
        <v>1905</v>
      </c>
      <c r="F717" t="s">
        <v>1837</v>
      </c>
    </row>
    <row r="718" spans="1:7" x14ac:dyDescent="0.2">
      <c r="D718" t="s">
        <v>73</v>
      </c>
      <c r="E718" t="s">
        <v>1896</v>
      </c>
      <c r="F718" t="s">
        <v>1781</v>
      </c>
    </row>
    <row r="719" spans="1:7" x14ac:dyDescent="0.2">
      <c r="D719" t="s">
        <v>75</v>
      </c>
      <c r="E719" t="s">
        <v>1906</v>
      </c>
      <c r="F719" t="s">
        <v>1907</v>
      </c>
      <c r="G719" t="s">
        <v>1908</v>
      </c>
    </row>
    <row r="720" spans="1:7" x14ac:dyDescent="0.2">
      <c r="D720" t="s">
        <v>76</v>
      </c>
      <c r="E720" t="s">
        <v>1905</v>
      </c>
      <c r="F720" t="s">
        <v>1837</v>
      </c>
    </row>
    <row r="721" spans="3:7" x14ac:dyDescent="0.2">
      <c r="D721" t="s">
        <v>77</v>
      </c>
      <c r="E721" t="s">
        <v>1905</v>
      </c>
      <c r="F721" t="s">
        <v>1837</v>
      </c>
    </row>
    <row r="722" spans="3:7" x14ac:dyDescent="0.2">
      <c r="D722" t="s">
        <v>78</v>
      </c>
      <c r="E722" t="s">
        <v>1896</v>
      </c>
      <c r="F722" t="s">
        <v>1781</v>
      </c>
    </row>
    <row r="723" spans="3:7" x14ac:dyDescent="0.2">
      <c r="D723" t="s">
        <v>12</v>
      </c>
      <c r="E723" t="s">
        <v>1909</v>
      </c>
      <c r="F723" t="s">
        <v>1907</v>
      </c>
      <c r="G723" t="s">
        <v>1910</v>
      </c>
    </row>
    <row r="724" spans="3:7" x14ac:dyDescent="0.2">
      <c r="D724" t="s">
        <v>81</v>
      </c>
      <c r="E724" t="s">
        <v>1896</v>
      </c>
      <c r="F724" t="s">
        <v>1781</v>
      </c>
    </row>
    <row r="725" spans="3:7" x14ac:dyDescent="0.2">
      <c r="D725" t="s">
        <v>83</v>
      </c>
      <c r="E725" t="s">
        <v>1911</v>
      </c>
      <c r="F725" t="s">
        <v>1907</v>
      </c>
      <c r="G725" t="s">
        <v>1908</v>
      </c>
    </row>
    <row r="726" spans="3:7" x14ac:dyDescent="0.2">
      <c r="D726" t="s">
        <v>84</v>
      </c>
      <c r="E726" t="s">
        <v>1896</v>
      </c>
      <c r="F726" t="s">
        <v>1781</v>
      </c>
    </row>
    <row r="727" spans="3:7" x14ac:dyDescent="0.2">
      <c r="D727" t="s">
        <v>85</v>
      </c>
      <c r="E727" t="s">
        <v>1896</v>
      </c>
      <c r="F727" t="s">
        <v>1781</v>
      </c>
    </row>
    <row r="728" spans="3:7" x14ac:dyDescent="0.2">
      <c r="C728" t="s">
        <v>1543</v>
      </c>
      <c r="D728" t="s">
        <v>72</v>
      </c>
      <c r="E728" t="s">
        <v>1905</v>
      </c>
      <c r="F728" t="s">
        <v>1837</v>
      </c>
    </row>
    <row r="729" spans="3:7" x14ac:dyDescent="0.2">
      <c r="D729" t="s">
        <v>75</v>
      </c>
      <c r="E729" t="s">
        <v>1906</v>
      </c>
      <c r="F729" t="s">
        <v>1907</v>
      </c>
      <c r="G729" t="s">
        <v>1908</v>
      </c>
    </row>
    <row r="730" spans="3:7" x14ac:dyDescent="0.2">
      <c r="D730" t="s">
        <v>76</v>
      </c>
      <c r="E730" t="s">
        <v>1912</v>
      </c>
      <c r="F730" t="s">
        <v>1781</v>
      </c>
    </row>
    <row r="731" spans="3:7" x14ac:dyDescent="0.2">
      <c r="D731" t="s">
        <v>77</v>
      </c>
      <c r="E731" t="s">
        <v>1905</v>
      </c>
      <c r="F731" t="s">
        <v>1837</v>
      </c>
    </row>
    <row r="732" spans="3:7" x14ac:dyDescent="0.2">
      <c r="D732" t="s">
        <v>78</v>
      </c>
      <c r="E732" t="s">
        <v>1896</v>
      </c>
      <c r="F732" t="s">
        <v>1781</v>
      </c>
    </row>
    <row r="733" spans="3:7" x14ac:dyDescent="0.2">
      <c r="D733" t="s">
        <v>79</v>
      </c>
      <c r="E733" t="s">
        <v>1896</v>
      </c>
      <c r="F733" t="s">
        <v>1781</v>
      </c>
    </row>
    <row r="734" spans="3:7" x14ac:dyDescent="0.2">
      <c r="D734" t="s">
        <v>12</v>
      </c>
      <c r="E734" t="s">
        <v>1909</v>
      </c>
      <c r="F734" t="s">
        <v>1907</v>
      </c>
      <c r="G734" t="s">
        <v>1910</v>
      </c>
    </row>
    <row r="735" spans="3:7" x14ac:dyDescent="0.2">
      <c r="D735" t="s">
        <v>81</v>
      </c>
      <c r="E735" t="s">
        <v>1896</v>
      </c>
      <c r="F735" t="s">
        <v>1781</v>
      </c>
    </row>
    <row r="736" spans="3:7" x14ac:dyDescent="0.2">
      <c r="D736" t="s">
        <v>83</v>
      </c>
      <c r="E736" t="s">
        <v>1911</v>
      </c>
      <c r="F736" t="s">
        <v>1907</v>
      </c>
      <c r="G736" t="s">
        <v>1908</v>
      </c>
    </row>
    <row r="737" spans="1:7" x14ac:dyDescent="0.2">
      <c r="D737" t="s">
        <v>84</v>
      </c>
      <c r="E737" t="s">
        <v>1896</v>
      </c>
      <c r="F737" t="s">
        <v>1781</v>
      </c>
    </row>
    <row r="738" spans="1:7" x14ac:dyDescent="0.2">
      <c r="D738" t="s">
        <v>85</v>
      </c>
      <c r="E738" t="s">
        <v>1896</v>
      </c>
      <c r="F738" t="s">
        <v>1781</v>
      </c>
    </row>
    <row r="739" spans="1:7" x14ac:dyDescent="0.2">
      <c r="D739" t="s">
        <v>87</v>
      </c>
      <c r="E739" t="s">
        <v>1896</v>
      </c>
      <c r="F739" t="s">
        <v>1781</v>
      </c>
    </row>
    <row r="740" spans="1:7" x14ac:dyDescent="0.2">
      <c r="D740" t="s">
        <v>73</v>
      </c>
      <c r="E740" t="s">
        <v>1913</v>
      </c>
      <c r="F740" t="s">
        <v>1907</v>
      </c>
    </row>
    <row r="741" spans="1:7" x14ac:dyDescent="0.2">
      <c r="C741" t="s">
        <v>1544</v>
      </c>
      <c r="D741" t="s">
        <v>72</v>
      </c>
      <c r="E741" t="s">
        <v>1905</v>
      </c>
      <c r="F741" t="s">
        <v>1837</v>
      </c>
    </row>
    <row r="742" spans="1:7" x14ac:dyDescent="0.2">
      <c r="D742" t="s">
        <v>75</v>
      </c>
      <c r="E742" t="s">
        <v>1906</v>
      </c>
      <c r="F742" t="s">
        <v>1907</v>
      </c>
      <c r="G742" t="s">
        <v>1908</v>
      </c>
    </row>
    <row r="743" spans="1:7" x14ac:dyDescent="0.2">
      <c r="D743" t="s">
        <v>76</v>
      </c>
      <c r="E743" t="s">
        <v>1912</v>
      </c>
      <c r="F743" t="s">
        <v>1781</v>
      </c>
    </row>
    <row r="744" spans="1:7" x14ac:dyDescent="0.2">
      <c r="D744" t="s">
        <v>77</v>
      </c>
      <c r="E744" t="s">
        <v>1905</v>
      </c>
      <c r="F744" t="s">
        <v>1837</v>
      </c>
    </row>
    <row r="745" spans="1:7" x14ac:dyDescent="0.2">
      <c r="D745" t="s">
        <v>78</v>
      </c>
      <c r="E745" t="s">
        <v>1896</v>
      </c>
      <c r="F745" t="s">
        <v>1781</v>
      </c>
    </row>
    <row r="746" spans="1:7" x14ac:dyDescent="0.2">
      <c r="D746" t="s">
        <v>12</v>
      </c>
      <c r="E746" t="s">
        <v>1909</v>
      </c>
      <c r="F746" t="s">
        <v>1907</v>
      </c>
    </row>
    <row r="747" spans="1:7" x14ac:dyDescent="0.2">
      <c r="D747" t="s">
        <v>81</v>
      </c>
      <c r="E747" t="s">
        <v>1896</v>
      </c>
      <c r="F747" t="s">
        <v>1781</v>
      </c>
    </row>
    <row r="748" spans="1:7" x14ac:dyDescent="0.2">
      <c r="D748" t="s">
        <v>83</v>
      </c>
      <c r="E748" t="s">
        <v>1911</v>
      </c>
      <c r="F748" t="s">
        <v>1907</v>
      </c>
      <c r="G748" t="s">
        <v>1908</v>
      </c>
    </row>
    <row r="749" spans="1:7" x14ac:dyDescent="0.2">
      <c r="D749" t="s">
        <v>84</v>
      </c>
      <c r="E749" t="s">
        <v>1896</v>
      </c>
      <c r="F749" t="s">
        <v>1781</v>
      </c>
    </row>
    <row r="750" spans="1:7" ht="16" thickBot="1" x14ac:dyDescent="0.25">
      <c r="A750" s="26"/>
      <c r="B750" s="26"/>
      <c r="C750" s="26"/>
      <c r="D750" s="26" t="s">
        <v>85</v>
      </c>
      <c r="E750" s="26" t="s">
        <v>1896</v>
      </c>
      <c r="F750" s="26" t="s">
        <v>1781</v>
      </c>
      <c r="G750" s="26"/>
    </row>
    <row r="751" spans="1:7" x14ac:dyDescent="0.2">
      <c r="A751" t="s">
        <v>1558</v>
      </c>
      <c r="B751" t="s">
        <v>1559</v>
      </c>
      <c r="C751" t="s">
        <v>1560</v>
      </c>
      <c r="D751" t="s">
        <v>12</v>
      </c>
      <c r="E751" t="s">
        <v>1843</v>
      </c>
      <c r="F751" t="s">
        <v>1837</v>
      </c>
    </row>
    <row r="752" spans="1:7" x14ac:dyDescent="0.2">
      <c r="C752" t="s">
        <v>1561</v>
      </c>
      <c r="D752" t="s">
        <v>12</v>
      </c>
      <c r="E752" t="s">
        <v>1843</v>
      </c>
      <c r="F752" t="s">
        <v>1837</v>
      </c>
    </row>
    <row r="753" spans="1:7" x14ac:dyDescent="0.2">
      <c r="C753" s="32" t="s">
        <v>1562</v>
      </c>
      <c r="D753" t="s">
        <v>79</v>
      </c>
      <c r="E753" t="s">
        <v>1784</v>
      </c>
      <c r="F753" t="s">
        <v>1837</v>
      </c>
    </row>
    <row r="754" spans="1:7" x14ac:dyDescent="0.2">
      <c r="D754" t="s">
        <v>87</v>
      </c>
      <c r="E754" t="s">
        <v>1784</v>
      </c>
      <c r="F754" t="s">
        <v>1837</v>
      </c>
    </row>
    <row r="755" spans="1:7" x14ac:dyDescent="0.2">
      <c r="C755" t="s">
        <v>1563</v>
      </c>
      <c r="D755" t="s">
        <v>73</v>
      </c>
      <c r="E755" t="s">
        <v>1784</v>
      </c>
      <c r="F755" t="s">
        <v>1837</v>
      </c>
    </row>
    <row r="756" spans="1:7" x14ac:dyDescent="0.2">
      <c r="D756" t="s">
        <v>79</v>
      </c>
      <c r="E756" t="s">
        <v>1784</v>
      </c>
      <c r="F756" t="s">
        <v>1837</v>
      </c>
    </row>
    <row r="757" spans="1:7" x14ac:dyDescent="0.2">
      <c r="D757" t="s">
        <v>87</v>
      </c>
      <c r="E757" t="s">
        <v>1784</v>
      </c>
      <c r="F757" t="s">
        <v>1837</v>
      </c>
    </row>
    <row r="758" spans="1:7" x14ac:dyDescent="0.2">
      <c r="C758" s="32" t="s">
        <v>1564</v>
      </c>
      <c r="D758" t="s">
        <v>79</v>
      </c>
      <c r="E758" t="s">
        <v>1784</v>
      </c>
      <c r="F758" t="s">
        <v>1837</v>
      </c>
    </row>
    <row r="759" spans="1:7" x14ac:dyDescent="0.2">
      <c r="D759" t="s">
        <v>87</v>
      </c>
      <c r="E759" t="s">
        <v>1784</v>
      </c>
      <c r="F759" t="s">
        <v>1837</v>
      </c>
    </row>
    <row r="760" spans="1:7" x14ac:dyDescent="0.2">
      <c r="C760" s="32" t="s">
        <v>1565</v>
      </c>
      <c r="D760" t="s">
        <v>79</v>
      </c>
      <c r="E760" t="s">
        <v>1784</v>
      </c>
      <c r="F760" t="s">
        <v>1837</v>
      </c>
    </row>
    <row r="761" spans="1:7" x14ac:dyDescent="0.2">
      <c r="D761" t="s">
        <v>87</v>
      </c>
      <c r="E761" t="s">
        <v>1784</v>
      </c>
      <c r="F761" t="s">
        <v>1837</v>
      </c>
    </row>
    <row r="762" spans="1:7" x14ac:dyDescent="0.2">
      <c r="C762" t="s">
        <v>1566</v>
      </c>
      <c r="D762" t="s">
        <v>79</v>
      </c>
      <c r="E762" t="s">
        <v>1784</v>
      </c>
      <c r="F762" t="s">
        <v>1837</v>
      </c>
    </row>
    <row r="763" spans="1:7" ht="16" thickBot="1" x14ac:dyDescent="0.25">
      <c r="A763" s="26"/>
      <c r="B763" s="26"/>
      <c r="C763" s="26"/>
      <c r="D763" s="26" t="s">
        <v>87</v>
      </c>
      <c r="E763" s="26" t="s">
        <v>1784</v>
      </c>
      <c r="F763" s="26" t="s">
        <v>1837</v>
      </c>
      <c r="G763" s="26"/>
    </row>
    <row r="764" spans="1:7" x14ac:dyDescent="0.2">
      <c r="A764" t="s">
        <v>1567</v>
      </c>
      <c r="B764" t="s">
        <v>1568</v>
      </c>
      <c r="C764" t="s">
        <v>1569</v>
      </c>
      <c r="D764" t="s">
        <v>72</v>
      </c>
      <c r="E764" t="s">
        <v>1914</v>
      </c>
      <c r="F764" t="s">
        <v>1797</v>
      </c>
    </row>
    <row r="765" spans="1:7" x14ac:dyDescent="0.2">
      <c r="D765" t="s">
        <v>76</v>
      </c>
      <c r="E765" t="s">
        <v>1914</v>
      </c>
      <c r="F765" t="s">
        <v>1797</v>
      </c>
    </row>
    <row r="766" spans="1:7" ht="16" thickBot="1" x14ac:dyDescent="0.25">
      <c r="A766" s="26"/>
      <c r="B766" s="26"/>
      <c r="C766" s="26"/>
      <c r="D766" s="26" t="s">
        <v>81</v>
      </c>
      <c r="E766" s="26" t="s">
        <v>1914</v>
      </c>
      <c r="F766" s="26" t="s">
        <v>1797</v>
      </c>
      <c r="G766" s="26"/>
    </row>
    <row r="767" spans="1:7" x14ac:dyDescent="0.2">
      <c r="A767" t="s">
        <v>1572</v>
      </c>
      <c r="B767" t="s">
        <v>1573</v>
      </c>
      <c r="C767" t="s">
        <v>690</v>
      </c>
      <c r="D767" t="s">
        <v>73</v>
      </c>
      <c r="E767" t="s">
        <v>1784</v>
      </c>
      <c r="F767" t="s">
        <v>1837</v>
      </c>
    </row>
    <row r="768" spans="1:7" x14ac:dyDescent="0.2">
      <c r="D768" t="s">
        <v>76</v>
      </c>
      <c r="E768" t="s">
        <v>1784</v>
      </c>
      <c r="F768" t="s">
        <v>1837</v>
      </c>
    </row>
    <row r="769" spans="3:6" x14ac:dyDescent="0.2">
      <c r="D769" t="s">
        <v>80</v>
      </c>
      <c r="E769" t="s">
        <v>1784</v>
      </c>
      <c r="F769" t="s">
        <v>1837</v>
      </c>
    </row>
    <row r="770" spans="3:6" x14ac:dyDescent="0.2">
      <c r="D770" t="s">
        <v>12</v>
      </c>
      <c r="E770" t="s">
        <v>1784</v>
      </c>
      <c r="F770" t="s">
        <v>1837</v>
      </c>
    </row>
    <row r="771" spans="3:6" x14ac:dyDescent="0.2">
      <c r="D771" t="s">
        <v>83</v>
      </c>
      <c r="E771" t="s">
        <v>1784</v>
      </c>
      <c r="F771" t="s">
        <v>1837</v>
      </c>
    </row>
    <row r="772" spans="3:6" x14ac:dyDescent="0.2">
      <c r="D772" t="s">
        <v>86</v>
      </c>
      <c r="E772" t="s">
        <v>1784</v>
      </c>
      <c r="F772" t="s">
        <v>1837</v>
      </c>
    </row>
    <row r="773" spans="3:6" x14ac:dyDescent="0.2">
      <c r="C773" t="s">
        <v>925</v>
      </c>
      <c r="D773" t="s">
        <v>73</v>
      </c>
      <c r="E773" t="s">
        <v>1784</v>
      </c>
      <c r="F773" t="s">
        <v>1837</v>
      </c>
    </row>
    <row r="774" spans="3:6" x14ac:dyDescent="0.2">
      <c r="D774" t="s">
        <v>76</v>
      </c>
      <c r="E774" t="s">
        <v>1784</v>
      </c>
      <c r="F774" t="s">
        <v>1837</v>
      </c>
    </row>
    <row r="775" spans="3:6" x14ac:dyDescent="0.2">
      <c r="D775" t="s">
        <v>77</v>
      </c>
      <c r="E775" t="s">
        <v>1784</v>
      </c>
      <c r="F775" t="s">
        <v>1837</v>
      </c>
    </row>
    <row r="776" spans="3:6" x14ac:dyDescent="0.2">
      <c r="D776" t="s">
        <v>78</v>
      </c>
      <c r="E776" t="s">
        <v>1784</v>
      </c>
      <c r="F776" t="s">
        <v>1837</v>
      </c>
    </row>
    <row r="777" spans="3:6" x14ac:dyDescent="0.2">
      <c r="D777" t="s">
        <v>12</v>
      </c>
      <c r="E777" t="s">
        <v>1784</v>
      </c>
      <c r="F777" t="s">
        <v>1837</v>
      </c>
    </row>
    <row r="778" spans="3:6" x14ac:dyDescent="0.2">
      <c r="D778" t="s">
        <v>80</v>
      </c>
      <c r="E778" t="s">
        <v>1784</v>
      </c>
      <c r="F778" t="s">
        <v>1837</v>
      </c>
    </row>
    <row r="779" spans="3:6" x14ac:dyDescent="0.2">
      <c r="D779" t="s">
        <v>83</v>
      </c>
      <c r="E779" t="s">
        <v>1784</v>
      </c>
      <c r="F779" t="s">
        <v>1837</v>
      </c>
    </row>
    <row r="780" spans="3:6" x14ac:dyDescent="0.2">
      <c r="D780" t="s">
        <v>85</v>
      </c>
      <c r="E780" t="s">
        <v>1784</v>
      </c>
      <c r="F780" t="s">
        <v>1837</v>
      </c>
    </row>
    <row r="781" spans="3:6" x14ac:dyDescent="0.2">
      <c r="D781" t="s">
        <v>86</v>
      </c>
      <c r="E781" t="s">
        <v>1784</v>
      </c>
      <c r="F781" t="s">
        <v>1837</v>
      </c>
    </row>
    <row r="782" spans="3:6" x14ac:dyDescent="0.2">
      <c r="C782" t="s">
        <v>1574</v>
      </c>
      <c r="D782" t="s">
        <v>78</v>
      </c>
      <c r="E782" t="s">
        <v>1784</v>
      </c>
      <c r="F782" t="s">
        <v>1837</v>
      </c>
    </row>
    <row r="783" spans="3:6" x14ac:dyDescent="0.2">
      <c r="C783" t="s">
        <v>999</v>
      </c>
      <c r="D783" t="s">
        <v>73</v>
      </c>
      <c r="E783" t="s">
        <v>1784</v>
      </c>
      <c r="F783" t="s">
        <v>1837</v>
      </c>
    </row>
    <row r="784" spans="3:6" x14ac:dyDescent="0.2">
      <c r="D784" t="s">
        <v>76</v>
      </c>
      <c r="E784" t="s">
        <v>1784</v>
      </c>
      <c r="F784" t="s">
        <v>1837</v>
      </c>
    </row>
    <row r="785" spans="3:6" x14ac:dyDescent="0.2">
      <c r="D785" t="s">
        <v>79</v>
      </c>
      <c r="E785" t="s">
        <v>1784</v>
      </c>
      <c r="F785" t="s">
        <v>1837</v>
      </c>
    </row>
    <row r="786" spans="3:6" x14ac:dyDescent="0.2">
      <c r="D786" t="s">
        <v>80</v>
      </c>
      <c r="E786" t="s">
        <v>1784</v>
      </c>
      <c r="F786" t="s">
        <v>1837</v>
      </c>
    </row>
    <row r="787" spans="3:6" x14ac:dyDescent="0.2">
      <c r="D787" t="s">
        <v>12</v>
      </c>
      <c r="E787" t="s">
        <v>1784</v>
      </c>
      <c r="F787" t="s">
        <v>1837</v>
      </c>
    </row>
    <row r="788" spans="3:6" x14ac:dyDescent="0.2">
      <c r="D788" t="s">
        <v>86</v>
      </c>
      <c r="E788" t="s">
        <v>1784</v>
      </c>
      <c r="F788" t="s">
        <v>1837</v>
      </c>
    </row>
    <row r="789" spans="3:6" x14ac:dyDescent="0.2">
      <c r="C789" t="s">
        <v>1575</v>
      </c>
      <c r="D789" t="s">
        <v>73</v>
      </c>
      <c r="E789" t="s">
        <v>1784</v>
      </c>
      <c r="F789" t="s">
        <v>1837</v>
      </c>
    </row>
    <row r="790" spans="3:6" x14ac:dyDescent="0.2">
      <c r="D790" t="s">
        <v>76</v>
      </c>
      <c r="E790" t="s">
        <v>1784</v>
      </c>
      <c r="F790" t="s">
        <v>1837</v>
      </c>
    </row>
    <row r="791" spans="3:6" x14ac:dyDescent="0.2">
      <c r="D791" t="s">
        <v>77</v>
      </c>
      <c r="E791" t="s">
        <v>1784</v>
      </c>
      <c r="F791" t="s">
        <v>1837</v>
      </c>
    </row>
    <row r="792" spans="3:6" x14ac:dyDescent="0.2">
      <c r="D792" t="s">
        <v>79</v>
      </c>
      <c r="E792" t="s">
        <v>1784</v>
      </c>
      <c r="F792" t="s">
        <v>1837</v>
      </c>
    </row>
    <row r="793" spans="3:6" x14ac:dyDescent="0.2">
      <c r="D793" t="s">
        <v>80</v>
      </c>
      <c r="E793" t="s">
        <v>1784</v>
      </c>
      <c r="F793" t="s">
        <v>1837</v>
      </c>
    </row>
    <row r="794" spans="3:6" x14ac:dyDescent="0.2">
      <c r="D794" t="s">
        <v>12</v>
      </c>
      <c r="E794" t="s">
        <v>1784</v>
      </c>
      <c r="F794" t="s">
        <v>1837</v>
      </c>
    </row>
    <row r="795" spans="3:6" x14ac:dyDescent="0.2">
      <c r="D795" t="s">
        <v>81</v>
      </c>
      <c r="E795" t="s">
        <v>1784</v>
      </c>
      <c r="F795" t="s">
        <v>1837</v>
      </c>
    </row>
    <row r="796" spans="3:6" x14ac:dyDescent="0.2">
      <c r="D796" t="s">
        <v>82</v>
      </c>
      <c r="E796" t="s">
        <v>1784</v>
      </c>
      <c r="F796" t="s">
        <v>1837</v>
      </c>
    </row>
    <row r="797" spans="3:6" x14ac:dyDescent="0.2">
      <c r="D797" t="s">
        <v>84</v>
      </c>
      <c r="E797" t="s">
        <v>1784</v>
      </c>
      <c r="F797" t="s">
        <v>1837</v>
      </c>
    </row>
    <row r="798" spans="3:6" x14ac:dyDescent="0.2">
      <c r="D798" t="s">
        <v>86</v>
      </c>
      <c r="E798" t="s">
        <v>1784</v>
      </c>
      <c r="F798" t="s">
        <v>1837</v>
      </c>
    </row>
    <row r="799" spans="3:6" x14ac:dyDescent="0.2">
      <c r="C799" t="s">
        <v>1576</v>
      </c>
      <c r="D799" t="s">
        <v>78</v>
      </c>
      <c r="E799" t="s">
        <v>1784</v>
      </c>
      <c r="F799" t="s">
        <v>1837</v>
      </c>
    </row>
    <row r="800" spans="3:6" x14ac:dyDescent="0.2">
      <c r="D800" t="s">
        <v>86</v>
      </c>
      <c r="E800" t="s">
        <v>1784</v>
      </c>
      <c r="F800" t="s">
        <v>1837</v>
      </c>
    </row>
    <row r="801" spans="1:7" x14ac:dyDescent="0.2">
      <c r="C801" t="s">
        <v>1000</v>
      </c>
      <c r="D801" t="s">
        <v>73</v>
      </c>
      <c r="E801" t="s">
        <v>1784</v>
      </c>
      <c r="F801" t="s">
        <v>1837</v>
      </c>
    </row>
    <row r="802" spans="1:7" x14ac:dyDescent="0.2">
      <c r="D802" t="s">
        <v>75</v>
      </c>
      <c r="E802" t="s">
        <v>1784</v>
      </c>
      <c r="F802" t="s">
        <v>1837</v>
      </c>
    </row>
    <row r="803" spans="1:7" x14ac:dyDescent="0.2">
      <c r="D803" t="s">
        <v>78</v>
      </c>
      <c r="E803" t="s">
        <v>1784</v>
      </c>
      <c r="F803" t="s">
        <v>1837</v>
      </c>
    </row>
    <row r="804" spans="1:7" ht="16" thickBot="1" x14ac:dyDescent="0.25">
      <c r="A804" s="26"/>
      <c r="B804" s="26"/>
      <c r="C804" s="26"/>
      <c r="D804" s="26" t="s">
        <v>86</v>
      </c>
      <c r="E804" s="26" t="s">
        <v>1784</v>
      </c>
      <c r="F804" s="26" t="s">
        <v>1837</v>
      </c>
      <c r="G804" s="26"/>
    </row>
    <row r="805" spans="1:7" ht="16" thickBot="1" x14ac:dyDescent="0.25">
      <c r="A805" s="30" t="s">
        <v>1591</v>
      </c>
      <c r="B805" s="30" t="s">
        <v>1592</v>
      </c>
      <c r="C805" s="30" t="s">
        <v>1596</v>
      </c>
      <c r="D805" s="30" t="s">
        <v>88</v>
      </c>
      <c r="E805" s="30" t="s">
        <v>1784</v>
      </c>
      <c r="F805" s="30" t="s">
        <v>1837</v>
      </c>
      <c r="G805" s="30"/>
    </row>
    <row r="806" spans="1:7" ht="16" x14ac:dyDescent="0.2">
      <c r="A806" s="25" t="s">
        <v>1597</v>
      </c>
      <c r="B806" t="s">
        <v>1598</v>
      </c>
      <c r="C806" t="s">
        <v>1599</v>
      </c>
      <c r="D806" t="s">
        <v>73</v>
      </c>
      <c r="E806" t="s">
        <v>1915</v>
      </c>
      <c r="F806" t="s">
        <v>1781</v>
      </c>
    </row>
    <row r="807" spans="1:7" x14ac:dyDescent="0.2">
      <c r="A807" s="25"/>
      <c r="D807" t="s">
        <v>78</v>
      </c>
      <c r="E807" t="s">
        <v>1915</v>
      </c>
      <c r="F807" t="s">
        <v>1781</v>
      </c>
    </row>
    <row r="808" spans="1:7" x14ac:dyDescent="0.2">
      <c r="A808" s="25"/>
      <c r="D808" t="s">
        <v>79</v>
      </c>
      <c r="E808" t="s">
        <v>1915</v>
      </c>
      <c r="F808" t="s">
        <v>1781</v>
      </c>
    </row>
    <row r="809" spans="1:7" x14ac:dyDescent="0.2">
      <c r="A809" s="25"/>
      <c r="D809" t="s">
        <v>81</v>
      </c>
      <c r="E809" t="s">
        <v>1915</v>
      </c>
      <c r="F809" t="s">
        <v>1781</v>
      </c>
    </row>
    <row r="810" spans="1:7" x14ac:dyDescent="0.2">
      <c r="A810" s="25"/>
      <c r="D810" t="s">
        <v>82</v>
      </c>
      <c r="E810" t="s">
        <v>1916</v>
      </c>
      <c r="F810" t="s">
        <v>1837</v>
      </c>
    </row>
    <row r="811" spans="1:7" x14ac:dyDescent="0.2">
      <c r="A811" s="25"/>
      <c r="D811" t="s">
        <v>83</v>
      </c>
      <c r="E811" t="s">
        <v>1915</v>
      </c>
      <c r="F811" t="s">
        <v>1781</v>
      </c>
    </row>
    <row r="812" spans="1:7" x14ac:dyDescent="0.2">
      <c r="A812" s="25"/>
      <c r="D812" t="s">
        <v>84</v>
      </c>
      <c r="E812" t="s">
        <v>1915</v>
      </c>
      <c r="F812" t="s">
        <v>1781</v>
      </c>
    </row>
    <row r="813" spans="1:7" x14ac:dyDescent="0.2">
      <c r="A813" s="25"/>
      <c r="D813" t="s">
        <v>88</v>
      </c>
      <c r="E813" t="s">
        <v>1915</v>
      </c>
      <c r="F813" t="s">
        <v>1781</v>
      </c>
    </row>
    <row r="814" spans="1:7" x14ac:dyDescent="0.2">
      <c r="A814" s="25"/>
      <c r="D814" t="s">
        <v>76</v>
      </c>
      <c r="E814" t="s">
        <v>1915</v>
      </c>
      <c r="F814" t="s">
        <v>1781</v>
      </c>
    </row>
    <row r="815" spans="1:7" x14ac:dyDescent="0.2">
      <c r="C815" t="s">
        <v>1600</v>
      </c>
      <c r="D815" t="s">
        <v>73</v>
      </c>
      <c r="E815" t="s">
        <v>1915</v>
      </c>
      <c r="F815" t="s">
        <v>1781</v>
      </c>
    </row>
    <row r="816" spans="1:7" x14ac:dyDescent="0.2">
      <c r="D816" t="s">
        <v>78</v>
      </c>
      <c r="E816" t="s">
        <v>1915</v>
      </c>
      <c r="F816" t="s">
        <v>1781</v>
      </c>
    </row>
    <row r="817" spans="3:6" x14ac:dyDescent="0.2">
      <c r="D817" t="s">
        <v>81</v>
      </c>
      <c r="E817" t="s">
        <v>1915</v>
      </c>
      <c r="F817" t="s">
        <v>1781</v>
      </c>
    </row>
    <row r="818" spans="3:6" x14ac:dyDescent="0.2">
      <c r="D818" t="s">
        <v>82</v>
      </c>
      <c r="E818" t="s">
        <v>1916</v>
      </c>
      <c r="F818" t="s">
        <v>1837</v>
      </c>
    </row>
    <row r="819" spans="3:6" x14ac:dyDescent="0.2">
      <c r="D819" t="s">
        <v>83</v>
      </c>
      <c r="E819" t="s">
        <v>1915</v>
      </c>
      <c r="F819" t="s">
        <v>1781</v>
      </c>
    </row>
    <row r="820" spans="3:6" x14ac:dyDescent="0.2">
      <c r="D820" t="s">
        <v>84</v>
      </c>
      <c r="E820" t="s">
        <v>1915</v>
      </c>
      <c r="F820" t="s">
        <v>1781</v>
      </c>
    </row>
    <row r="821" spans="3:6" x14ac:dyDescent="0.2">
      <c r="D821" t="s">
        <v>88</v>
      </c>
      <c r="E821" t="s">
        <v>1915</v>
      </c>
      <c r="F821" t="s">
        <v>1781</v>
      </c>
    </row>
    <row r="822" spans="3:6" x14ac:dyDescent="0.2">
      <c r="D822" t="s">
        <v>76</v>
      </c>
      <c r="E822" t="s">
        <v>1915</v>
      </c>
      <c r="F822" t="s">
        <v>1781</v>
      </c>
    </row>
    <row r="823" spans="3:6" x14ac:dyDescent="0.2">
      <c r="C823" t="s">
        <v>1601</v>
      </c>
      <c r="D823" t="s">
        <v>78</v>
      </c>
      <c r="E823" t="s">
        <v>1915</v>
      </c>
      <c r="F823" t="s">
        <v>1781</v>
      </c>
    </row>
    <row r="824" spans="3:6" x14ac:dyDescent="0.2">
      <c r="D824" t="s">
        <v>79</v>
      </c>
      <c r="E824" t="s">
        <v>1915</v>
      </c>
      <c r="F824" t="s">
        <v>1781</v>
      </c>
    </row>
    <row r="825" spans="3:6" x14ac:dyDescent="0.2">
      <c r="D825" t="s">
        <v>81</v>
      </c>
      <c r="E825" t="s">
        <v>1915</v>
      </c>
      <c r="F825" t="s">
        <v>1781</v>
      </c>
    </row>
    <row r="826" spans="3:6" x14ac:dyDescent="0.2">
      <c r="D826" t="s">
        <v>82</v>
      </c>
      <c r="E826" t="s">
        <v>1916</v>
      </c>
      <c r="F826" t="s">
        <v>1837</v>
      </c>
    </row>
    <row r="827" spans="3:6" x14ac:dyDescent="0.2">
      <c r="D827" t="s">
        <v>83</v>
      </c>
      <c r="E827" t="s">
        <v>1915</v>
      </c>
      <c r="F827" t="s">
        <v>1781</v>
      </c>
    </row>
    <row r="828" spans="3:6" x14ac:dyDescent="0.2">
      <c r="D828" t="s">
        <v>84</v>
      </c>
      <c r="E828" t="s">
        <v>1915</v>
      </c>
      <c r="F828" t="s">
        <v>1781</v>
      </c>
    </row>
    <row r="829" spans="3:6" x14ac:dyDescent="0.2">
      <c r="D829" t="s">
        <v>88</v>
      </c>
      <c r="E829" t="s">
        <v>1915</v>
      </c>
      <c r="F829" t="s">
        <v>1781</v>
      </c>
    </row>
    <row r="830" spans="3:6" x14ac:dyDescent="0.2">
      <c r="D830" t="s">
        <v>76</v>
      </c>
      <c r="E830" t="s">
        <v>1915</v>
      </c>
      <c r="F830" t="s">
        <v>1781</v>
      </c>
    </row>
    <row r="831" spans="3:6" x14ac:dyDescent="0.2">
      <c r="C831" t="s">
        <v>1602</v>
      </c>
      <c r="D831" t="s">
        <v>73</v>
      </c>
      <c r="E831" t="s">
        <v>1915</v>
      </c>
      <c r="F831" t="s">
        <v>1781</v>
      </c>
    </row>
    <row r="832" spans="3:6" x14ac:dyDescent="0.2">
      <c r="D832" t="s">
        <v>78</v>
      </c>
      <c r="E832" t="s">
        <v>1915</v>
      </c>
      <c r="F832" t="s">
        <v>1781</v>
      </c>
    </row>
    <row r="833" spans="3:6" x14ac:dyDescent="0.2">
      <c r="D833" t="s">
        <v>79</v>
      </c>
      <c r="E833" t="s">
        <v>1915</v>
      </c>
      <c r="F833" t="s">
        <v>1781</v>
      </c>
    </row>
    <row r="834" spans="3:6" x14ac:dyDescent="0.2">
      <c r="D834" t="s">
        <v>81</v>
      </c>
      <c r="E834" t="s">
        <v>1915</v>
      </c>
      <c r="F834" t="s">
        <v>1781</v>
      </c>
    </row>
    <row r="835" spans="3:6" x14ac:dyDescent="0.2">
      <c r="D835" t="s">
        <v>82</v>
      </c>
      <c r="E835" t="s">
        <v>1916</v>
      </c>
      <c r="F835" t="s">
        <v>1837</v>
      </c>
    </row>
    <row r="836" spans="3:6" x14ac:dyDescent="0.2">
      <c r="D836" t="s">
        <v>83</v>
      </c>
      <c r="E836" t="s">
        <v>1915</v>
      </c>
      <c r="F836" t="s">
        <v>1781</v>
      </c>
    </row>
    <row r="837" spans="3:6" x14ac:dyDescent="0.2">
      <c r="D837" t="s">
        <v>84</v>
      </c>
      <c r="E837" t="s">
        <v>1915</v>
      </c>
      <c r="F837" t="s">
        <v>1781</v>
      </c>
    </row>
    <row r="838" spans="3:6" x14ac:dyDescent="0.2">
      <c r="D838" t="s">
        <v>88</v>
      </c>
      <c r="E838" t="s">
        <v>1915</v>
      </c>
      <c r="F838" t="s">
        <v>1781</v>
      </c>
    </row>
    <row r="839" spans="3:6" x14ac:dyDescent="0.2">
      <c r="D839" t="s">
        <v>76</v>
      </c>
      <c r="E839" t="s">
        <v>1915</v>
      </c>
      <c r="F839" t="s">
        <v>1781</v>
      </c>
    </row>
    <row r="840" spans="3:6" x14ac:dyDescent="0.2">
      <c r="C840" t="s">
        <v>1603</v>
      </c>
      <c r="D840" t="s">
        <v>78</v>
      </c>
      <c r="E840" t="s">
        <v>1915</v>
      </c>
      <c r="F840" t="s">
        <v>1781</v>
      </c>
    </row>
    <row r="841" spans="3:6" x14ac:dyDescent="0.2">
      <c r="D841" t="s">
        <v>81</v>
      </c>
      <c r="E841" t="s">
        <v>1915</v>
      </c>
      <c r="F841" t="s">
        <v>1781</v>
      </c>
    </row>
    <row r="842" spans="3:6" x14ac:dyDescent="0.2">
      <c r="D842" t="s">
        <v>82</v>
      </c>
      <c r="E842" t="s">
        <v>1916</v>
      </c>
      <c r="F842" t="s">
        <v>1837</v>
      </c>
    </row>
    <row r="843" spans="3:6" x14ac:dyDescent="0.2">
      <c r="D843" t="s">
        <v>83</v>
      </c>
      <c r="E843" t="s">
        <v>1915</v>
      </c>
      <c r="F843" t="s">
        <v>1781</v>
      </c>
    </row>
    <row r="844" spans="3:6" x14ac:dyDescent="0.2">
      <c r="D844" t="s">
        <v>84</v>
      </c>
      <c r="E844" t="s">
        <v>1915</v>
      </c>
      <c r="F844" t="s">
        <v>1781</v>
      </c>
    </row>
    <row r="845" spans="3:6" x14ac:dyDescent="0.2">
      <c r="D845" t="s">
        <v>88</v>
      </c>
      <c r="E845" t="s">
        <v>1915</v>
      </c>
      <c r="F845" t="s">
        <v>1781</v>
      </c>
    </row>
    <row r="846" spans="3:6" x14ac:dyDescent="0.2">
      <c r="D846" t="s">
        <v>76</v>
      </c>
      <c r="E846" t="s">
        <v>1915</v>
      </c>
      <c r="F846" t="s">
        <v>1781</v>
      </c>
    </row>
    <row r="847" spans="3:6" x14ac:dyDescent="0.2">
      <c r="C847" t="s">
        <v>1604</v>
      </c>
      <c r="D847" t="s">
        <v>73</v>
      </c>
      <c r="E847" t="s">
        <v>1915</v>
      </c>
      <c r="F847" t="s">
        <v>1781</v>
      </c>
    </row>
    <row r="848" spans="3:6" x14ac:dyDescent="0.2">
      <c r="D848" t="s">
        <v>78</v>
      </c>
      <c r="E848" t="s">
        <v>1915</v>
      </c>
      <c r="F848" t="s">
        <v>1781</v>
      </c>
    </row>
    <row r="849" spans="3:6" x14ac:dyDescent="0.2">
      <c r="D849" t="s">
        <v>79</v>
      </c>
      <c r="E849" t="s">
        <v>1915</v>
      </c>
      <c r="F849" t="s">
        <v>1781</v>
      </c>
    </row>
    <row r="850" spans="3:6" x14ac:dyDescent="0.2">
      <c r="D850" t="s">
        <v>81</v>
      </c>
      <c r="E850" t="s">
        <v>1915</v>
      </c>
      <c r="F850" t="s">
        <v>1781</v>
      </c>
    </row>
    <row r="851" spans="3:6" x14ac:dyDescent="0.2">
      <c r="D851" t="s">
        <v>82</v>
      </c>
      <c r="E851" t="s">
        <v>1916</v>
      </c>
      <c r="F851" t="s">
        <v>1837</v>
      </c>
    </row>
    <row r="852" spans="3:6" x14ac:dyDescent="0.2">
      <c r="D852" t="s">
        <v>83</v>
      </c>
      <c r="E852" t="s">
        <v>1915</v>
      </c>
      <c r="F852" t="s">
        <v>1781</v>
      </c>
    </row>
    <row r="853" spans="3:6" x14ac:dyDescent="0.2">
      <c r="D853" t="s">
        <v>84</v>
      </c>
      <c r="E853" t="s">
        <v>1915</v>
      </c>
      <c r="F853" t="s">
        <v>1781</v>
      </c>
    </row>
    <row r="854" spans="3:6" x14ac:dyDescent="0.2">
      <c r="D854" t="s">
        <v>88</v>
      </c>
      <c r="E854" t="s">
        <v>1915</v>
      </c>
      <c r="F854" t="s">
        <v>1781</v>
      </c>
    </row>
    <row r="855" spans="3:6" x14ac:dyDescent="0.2">
      <c r="D855" t="s">
        <v>76</v>
      </c>
      <c r="E855" t="s">
        <v>1915</v>
      </c>
      <c r="F855" t="s">
        <v>1781</v>
      </c>
    </row>
    <row r="856" spans="3:6" x14ac:dyDescent="0.2">
      <c r="C856" t="s">
        <v>1605</v>
      </c>
      <c r="D856" t="s">
        <v>73</v>
      </c>
      <c r="E856" t="s">
        <v>1915</v>
      </c>
      <c r="F856" t="s">
        <v>1781</v>
      </c>
    </row>
    <row r="857" spans="3:6" x14ac:dyDescent="0.2">
      <c r="D857" t="s">
        <v>78</v>
      </c>
      <c r="E857" t="s">
        <v>1915</v>
      </c>
      <c r="F857" t="s">
        <v>1781</v>
      </c>
    </row>
    <row r="858" spans="3:6" x14ac:dyDescent="0.2">
      <c r="D858" t="s">
        <v>79</v>
      </c>
      <c r="E858" t="s">
        <v>1915</v>
      </c>
      <c r="F858" t="s">
        <v>1781</v>
      </c>
    </row>
    <row r="859" spans="3:6" x14ac:dyDescent="0.2">
      <c r="D859" t="s">
        <v>81</v>
      </c>
      <c r="E859" t="s">
        <v>1915</v>
      </c>
      <c r="F859" t="s">
        <v>1781</v>
      </c>
    </row>
    <row r="860" spans="3:6" x14ac:dyDescent="0.2">
      <c r="D860" t="s">
        <v>82</v>
      </c>
      <c r="E860" t="s">
        <v>1916</v>
      </c>
      <c r="F860" t="s">
        <v>1837</v>
      </c>
    </row>
    <row r="861" spans="3:6" x14ac:dyDescent="0.2">
      <c r="D861" t="s">
        <v>83</v>
      </c>
      <c r="E861" t="s">
        <v>1915</v>
      </c>
      <c r="F861" t="s">
        <v>1781</v>
      </c>
    </row>
    <row r="862" spans="3:6" x14ac:dyDescent="0.2">
      <c r="D862" t="s">
        <v>84</v>
      </c>
      <c r="E862" t="s">
        <v>1915</v>
      </c>
      <c r="F862" t="s">
        <v>1781</v>
      </c>
    </row>
    <row r="863" spans="3:6" x14ac:dyDescent="0.2">
      <c r="D863" t="s">
        <v>76</v>
      </c>
      <c r="E863" t="s">
        <v>1915</v>
      </c>
      <c r="F863" t="s">
        <v>1781</v>
      </c>
    </row>
    <row r="864" spans="3:6" x14ac:dyDescent="0.2">
      <c r="D864" t="s">
        <v>88</v>
      </c>
      <c r="E864" t="s">
        <v>1915</v>
      </c>
      <c r="F864" t="s">
        <v>1781</v>
      </c>
    </row>
    <row r="865" spans="3:7" x14ac:dyDescent="0.2">
      <c r="C865" t="s">
        <v>1606</v>
      </c>
      <c r="D865" t="s">
        <v>74</v>
      </c>
      <c r="E865" t="s">
        <v>1915</v>
      </c>
      <c r="F865" t="s">
        <v>1781</v>
      </c>
    </row>
    <row r="866" spans="3:7" x14ac:dyDescent="0.2">
      <c r="D866" t="s">
        <v>78</v>
      </c>
      <c r="E866" t="s">
        <v>1915</v>
      </c>
      <c r="F866" t="s">
        <v>1781</v>
      </c>
    </row>
    <row r="867" spans="3:7" x14ac:dyDescent="0.2">
      <c r="D867" t="s">
        <v>81</v>
      </c>
      <c r="E867" t="s">
        <v>1915</v>
      </c>
      <c r="F867" t="s">
        <v>1781</v>
      </c>
    </row>
    <row r="868" spans="3:7" x14ac:dyDescent="0.2">
      <c r="D868" t="s">
        <v>82</v>
      </c>
      <c r="E868" t="s">
        <v>1916</v>
      </c>
      <c r="F868" t="s">
        <v>1837</v>
      </c>
    </row>
    <row r="869" spans="3:7" x14ac:dyDescent="0.2">
      <c r="D869" t="s">
        <v>83</v>
      </c>
      <c r="E869" t="s">
        <v>1915</v>
      </c>
      <c r="F869" t="s">
        <v>1781</v>
      </c>
    </row>
    <row r="870" spans="3:7" x14ac:dyDescent="0.2">
      <c r="D870" t="s">
        <v>84</v>
      </c>
      <c r="E870" t="s">
        <v>1915</v>
      </c>
      <c r="F870" t="s">
        <v>1781</v>
      </c>
    </row>
    <row r="871" spans="3:7" x14ac:dyDescent="0.2">
      <c r="D871" t="s">
        <v>79</v>
      </c>
      <c r="E871" t="s">
        <v>1917</v>
      </c>
      <c r="F871" t="s">
        <v>1802</v>
      </c>
      <c r="G871" t="s">
        <v>1918</v>
      </c>
    </row>
    <row r="872" spans="3:7" x14ac:dyDescent="0.2">
      <c r="D872" t="s">
        <v>85</v>
      </c>
      <c r="E872" t="s">
        <v>1915</v>
      </c>
      <c r="F872" t="s">
        <v>1781</v>
      </c>
    </row>
    <row r="873" spans="3:7" x14ac:dyDescent="0.2">
      <c r="D873" t="s">
        <v>88</v>
      </c>
      <c r="E873" t="s">
        <v>1915</v>
      </c>
      <c r="F873" t="s">
        <v>1781</v>
      </c>
    </row>
    <row r="874" spans="3:7" x14ac:dyDescent="0.2">
      <c r="D874" t="s">
        <v>76</v>
      </c>
      <c r="E874" t="s">
        <v>1915</v>
      </c>
      <c r="F874" t="s">
        <v>1781</v>
      </c>
    </row>
    <row r="875" spans="3:7" x14ac:dyDescent="0.2">
      <c r="C875" t="s">
        <v>1607</v>
      </c>
      <c r="D875" t="s">
        <v>73</v>
      </c>
      <c r="E875" t="s">
        <v>1916</v>
      </c>
      <c r="F875" t="s">
        <v>1837</v>
      </c>
    </row>
    <row r="876" spans="3:7" x14ac:dyDescent="0.2">
      <c r="D876" t="s">
        <v>77</v>
      </c>
      <c r="E876" t="s">
        <v>1916</v>
      </c>
      <c r="F876" t="s">
        <v>1837</v>
      </c>
    </row>
    <row r="877" spans="3:7" x14ac:dyDescent="0.2">
      <c r="D877" t="s">
        <v>78</v>
      </c>
      <c r="E877" t="s">
        <v>1915</v>
      </c>
      <c r="F877" t="s">
        <v>1781</v>
      </c>
    </row>
    <row r="878" spans="3:7" x14ac:dyDescent="0.2">
      <c r="D878" t="s">
        <v>79</v>
      </c>
      <c r="E878" t="s">
        <v>1915</v>
      </c>
      <c r="F878" t="s">
        <v>1781</v>
      </c>
    </row>
    <row r="879" spans="3:7" x14ac:dyDescent="0.2">
      <c r="D879" t="s">
        <v>80</v>
      </c>
      <c r="E879" t="s">
        <v>1916</v>
      </c>
      <c r="F879" t="s">
        <v>1837</v>
      </c>
    </row>
    <row r="880" spans="3:7" x14ac:dyDescent="0.2">
      <c r="D880" t="s">
        <v>81</v>
      </c>
      <c r="E880" t="s">
        <v>1915</v>
      </c>
      <c r="F880" t="s">
        <v>1781</v>
      </c>
    </row>
    <row r="881" spans="3:7" x14ac:dyDescent="0.2">
      <c r="D881" t="s">
        <v>82</v>
      </c>
      <c r="E881" t="s">
        <v>1916</v>
      </c>
      <c r="F881" t="s">
        <v>1837</v>
      </c>
    </row>
    <row r="882" spans="3:7" x14ac:dyDescent="0.2">
      <c r="D882" t="s">
        <v>76</v>
      </c>
      <c r="E882" t="s">
        <v>1915</v>
      </c>
      <c r="F882" t="s">
        <v>1781</v>
      </c>
    </row>
    <row r="883" spans="3:7" x14ac:dyDescent="0.2">
      <c r="D883" t="s">
        <v>83</v>
      </c>
      <c r="E883" t="s">
        <v>1915</v>
      </c>
      <c r="F883" t="s">
        <v>1781</v>
      </c>
    </row>
    <row r="884" spans="3:7" x14ac:dyDescent="0.2">
      <c r="D884" t="s">
        <v>84</v>
      </c>
      <c r="E884" t="s">
        <v>1915</v>
      </c>
      <c r="F884" t="s">
        <v>1781</v>
      </c>
    </row>
    <row r="885" spans="3:7" x14ac:dyDescent="0.2">
      <c r="D885" t="s">
        <v>86</v>
      </c>
      <c r="E885" t="s">
        <v>1916</v>
      </c>
      <c r="F885" t="s">
        <v>1837</v>
      </c>
    </row>
    <row r="886" spans="3:7" x14ac:dyDescent="0.2">
      <c r="D886" t="s">
        <v>88</v>
      </c>
      <c r="E886" t="s">
        <v>1915</v>
      </c>
      <c r="F886" t="s">
        <v>1781</v>
      </c>
    </row>
    <row r="887" spans="3:7" x14ac:dyDescent="0.2">
      <c r="C887" t="s">
        <v>1608</v>
      </c>
      <c r="D887" t="s">
        <v>73</v>
      </c>
      <c r="E887" t="s">
        <v>1915</v>
      </c>
      <c r="F887" t="s">
        <v>1781</v>
      </c>
    </row>
    <row r="888" spans="3:7" x14ac:dyDescent="0.2">
      <c r="D888" t="s">
        <v>78</v>
      </c>
      <c r="E888" t="s">
        <v>1915</v>
      </c>
      <c r="F888" t="s">
        <v>1781</v>
      </c>
    </row>
    <row r="889" spans="3:7" x14ac:dyDescent="0.2">
      <c r="D889" t="s">
        <v>79</v>
      </c>
      <c r="E889" t="s">
        <v>1917</v>
      </c>
      <c r="F889" t="s">
        <v>1802</v>
      </c>
      <c r="G889" t="s">
        <v>1918</v>
      </c>
    </row>
    <row r="890" spans="3:7" x14ac:dyDescent="0.2">
      <c r="D890" t="s">
        <v>81</v>
      </c>
      <c r="E890" t="s">
        <v>1915</v>
      </c>
      <c r="F890" t="s">
        <v>1781</v>
      </c>
    </row>
    <row r="891" spans="3:7" x14ac:dyDescent="0.2">
      <c r="D891" t="s">
        <v>82</v>
      </c>
      <c r="E891" t="s">
        <v>1916</v>
      </c>
      <c r="F891" t="s">
        <v>1837</v>
      </c>
    </row>
    <row r="892" spans="3:7" x14ac:dyDescent="0.2">
      <c r="D892" t="s">
        <v>76</v>
      </c>
      <c r="E892" t="s">
        <v>1915</v>
      </c>
      <c r="F892" t="s">
        <v>1781</v>
      </c>
    </row>
    <row r="893" spans="3:7" x14ac:dyDescent="0.2">
      <c r="D893" t="s">
        <v>83</v>
      </c>
      <c r="E893" t="s">
        <v>1915</v>
      </c>
      <c r="F893" t="s">
        <v>1781</v>
      </c>
    </row>
    <row r="894" spans="3:7" x14ac:dyDescent="0.2">
      <c r="D894" t="s">
        <v>84</v>
      </c>
      <c r="E894" t="s">
        <v>1915</v>
      </c>
      <c r="F894" t="s">
        <v>1781</v>
      </c>
    </row>
    <row r="895" spans="3:7" x14ac:dyDescent="0.2">
      <c r="D895" t="s">
        <v>88</v>
      </c>
      <c r="E895" t="s">
        <v>1915</v>
      </c>
      <c r="F895" t="s">
        <v>1781</v>
      </c>
    </row>
    <row r="896" spans="3:7" x14ac:dyDescent="0.2">
      <c r="C896" t="s">
        <v>1609</v>
      </c>
      <c r="D896" t="s">
        <v>78</v>
      </c>
      <c r="E896" t="s">
        <v>1915</v>
      </c>
      <c r="F896" t="s">
        <v>1781</v>
      </c>
    </row>
    <row r="897" spans="3:7" x14ac:dyDescent="0.2">
      <c r="D897" t="s">
        <v>82</v>
      </c>
      <c r="E897" t="s">
        <v>1916</v>
      </c>
      <c r="F897" t="s">
        <v>1837</v>
      </c>
    </row>
    <row r="898" spans="3:7" x14ac:dyDescent="0.2">
      <c r="D898" t="s">
        <v>76</v>
      </c>
      <c r="E898" t="s">
        <v>1915</v>
      </c>
      <c r="F898" t="s">
        <v>1781</v>
      </c>
    </row>
    <row r="899" spans="3:7" x14ac:dyDescent="0.2">
      <c r="D899" t="s">
        <v>83</v>
      </c>
      <c r="E899" t="s">
        <v>1915</v>
      </c>
      <c r="F899" t="s">
        <v>1781</v>
      </c>
    </row>
    <row r="900" spans="3:7" x14ac:dyDescent="0.2">
      <c r="D900" t="s">
        <v>84</v>
      </c>
      <c r="E900" t="s">
        <v>1915</v>
      </c>
      <c r="F900" t="s">
        <v>1781</v>
      </c>
    </row>
    <row r="901" spans="3:7" x14ac:dyDescent="0.2">
      <c r="D901" t="s">
        <v>88</v>
      </c>
      <c r="E901" t="s">
        <v>1915</v>
      </c>
      <c r="F901" t="s">
        <v>1781</v>
      </c>
    </row>
    <row r="902" spans="3:7" x14ac:dyDescent="0.2">
      <c r="C902" t="s">
        <v>1610</v>
      </c>
      <c r="D902" t="s">
        <v>73</v>
      </c>
      <c r="E902" t="s">
        <v>1915</v>
      </c>
      <c r="F902" t="s">
        <v>1781</v>
      </c>
    </row>
    <row r="903" spans="3:7" x14ac:dyDescent="0.2">
      <c r="D903" t="s">
        <v>78</v>
      </c>
      <c r="E903" t="s">
        <v>1915</v>
      </c>
      <c r="F903" t="s">
        <v>1781</v>
      </c>
    </row>
    <row r="904" spans="3:7" x14ac:dyDescent="0.2">
      <c r="D904" t="s">
        <v>79</v>
      </c>
      <c r="E904" t="s">
        <v>1917</v>
      </c>
      <c r="F904" t="s">
        <v>1802</v>
      </c>
      <c r="G904" t="s">
        <v>1918</v>
      </c>
    </row>
    <row r="905" spans="3:7" x14ac:dyDescent="0.2">
      <c r="D905" t="s">
        <v>81</v>
      </c>
      <c r="E905" t="s">
        <v>1915</v>
      </c>
      <c r="F905" t="s">
        <v>1781</v>
      </c>
    </row>
    <row r="906" spans="3:7" x14ac:dyDescent="0.2">
      <c r="D906" t="s">
        <v>82</v>
      </c>
      <c r="E906" t="s">
        <v>1916</v>
      </c>
      <c r="F906" t="s">
        <v>1837</v>
      </c>
    </row>
    <row r="907" spans="3:7" x14ac:dyDescent="0.2">
      <c r="D907" t="s">
        <v>76</v>
      </c>
      <c r="E907" t="s">
        <v>1915</v>
      </c>
      <c r="F907" t="s">
        <v>1781</v>
      </c>
    </row>
    <row r="908" spans="3:7" x14ac:dyDescent="0.2">
      <c r="D908" t="s">
        <v>83</v>
      </c>
      <c r="E908" t="s">
        <v>1915</v>
      </c>
      <c r="F908" t="s">
        <v>1781</v>
      </c>
    </row>
    <row r="909" spans="3:7" x14ac:dyDescent="0.2">
      <c r="D909" t="s">
        <v>84</v>
      </c>
      <c r="E909" t="s">
        <v>1915</v>
      </c>
      <c r="F909" t="s">
        <v>1781</v>
      </c>
    </row>
    <row r="910" spans="3:7" x14ac:dyDescent="0.2">
      <c r="D910" t="s">
        <v>88</v>
      </c>
      <c r="E910" t="s">
        <v>1915</v>
      </c>
      <c r="F910" t="s">
        <v>1781</v>
      </c>
    </row>
    <row r="911" spans="3:7" x14ac:dyDescent="0.2">
      <c r="C911" t="s">
        <v>1611</v>
      </c>
      <c r="D911" t="s">
        <v>73</v>
      </c>
      <c r="E911" t="s">
        <v>1915</v>
      </c>
      <c r="F911" t="s">
        <v>1781</v>
      </c>
    </row>
    <row r="912" spans="3:7" x14ac:dyDescent="0.2">
      <c r="D912" t="s">
        <v>78</v>
      </c>
      <c r="E912" t="s">
        <v>1915</v>
      </c>
      <c r="F912" t="s">
        <v>1781</v>
      </c>
    </row>
    <row r="913" spans="3:7" x14ac:dyDescent="0.2">
      <c r="D913" t="s">
        <v>79</v>
      </c>
      <c r="E913" t="s">
        <v>1917</v>
      </c>
      <c r="F913" t="s">
        <v>1802</v>
      </c>
      <c r="G913" t="s">
        <v>1918</v>
      </c>
    </row>
    <row r="914" spans="3:7" x14ac:dyDescent="0.2">
      <c r="D914" t="s">
        <v>81</v>
      </c>
      <c r="E914" t="s">
        <v>1915</v>
      </c>
      <c r="F914" t="s">
        <v>1781</v>
      </c>
    </row>
    <row r="915" spans="3:7" x14ac:dyDescent="0.2">
      <c r="D915" t="s">
        <v>82</v>
      </c>
      <c r="E915" t="s">
        <v>1916</v>
      </c>
      <c r="F915" t="s">
        <v>1837</v>
      </c>
    </row>
    <row r="916" spans="3:7" x14ac:dyDescent="0.2">
      <c r="D916" t="s">
        <v>76</v>
      </c>
      <c r="E916" t="s">
        <v>1915</v>
      </c>
      <c r="F916" t="s">
        <v>1781</v>
      </c>
    </row>
    <row r="917" spans="3:7" x14ac:dyDescent="0.2">
      <c r="D917" t="s">
        <v>83</v>
      </c>
      <c r="E917" t="s">
        <v>1915</v>
      </c>
      <c r="F917" t="s">
        <v>1781</v>
      </c>
    </row>
    <row r="918" spans="3:7" x14ac:dyDescent="0.2">
      <c r="D918" t="s">
        <v>84</v>
      </c>
      <c r="E918" t="s">
        <v>1915</v>
      </c>
      <c r="F918" t="s">
        <v>1781</v>
      </c>
    </row>
    <row r="919" spans="3:7" x14ac:dyDescent="0.2">
      <c r="C919" t="s">
        <v>1612</v>
      </c>
      <c r="D919" t="s">
        <v>78</v>
      </c>
      <c r="E919" t="s">
        <v>1915</v>
      </c>
      <c r="F919" t="s">
        <v>1781</v>
      </c>
    </row>
    <row r="920" spans="3:7" x14ac:dyDescent="0.2">
      <c r="D920" t="s">
        <v>79</v>
      </c>
      <c r="E920" t="s">
        <v>1917</v>
      </c>
      <c r="F920" t="s">
        <v>1802</v>
      </c>
      <c r="G920" t="s">
        <v>1918</v>
      </c>
    </row>
    <row r="921" spans="3:7" x14ac:dyDescent="0.2">
      <c r="D921" t="s">
        <v>81</v>
      </c>
      <c r="E921" t="s">
        <v>1915</v>
      </c>
      <c r="F921" t="s">
        <v>1781</v>
      </c>
    </row>
    <row r="922" spans="3:7" x14ac:dyDescent="0.2">
      <c r="D922" t="s">
        <v>82</v>
      </c>
      <c r="E922" t="s">
        <v>1916</v>
      </c>
      <c r="F922" t="s">
        <v>1837</v>
      </c>
    </row>
    <row r="923" spans="3:7" x14ac:dyDescent="0.2">
      <c r="D923" t="s">
        <v>76</v>
      </c>
      <c r="E923" t="s">
        <v>1915</v>
      </c>
      <c r="F923" t="s">
        <v>1781</v>
      </c>
    </row>
    <row r="924" spans="3:7" x14ac:dyDescent="0.2">
      <c r="D924" t="s">
        <v>83</v>
      </c>
      <c r="E924" t="s">
        <v>1917</v>
      </c>
      <c r="F924" t="s">
        <v>1802</v>
      </c>
      <c r="G924" t="s">
        <v>1918</v>
      </c>
    </row>
    <row r="925" spans="3:7" x14ac:dyDescent="0.2">
      <c r="D925" t="s">
        <v>84</v>
      </c>
      <c r="E925" t="s">
        <v>1915</v>
      </c>
      <c r="F925" t="s">
        <v>1781</v>
      </c>
    </row>
    <row r="926" spans="3:7" x14ac:dyDescent="0.2">
      <c r="C926" t="s">
        <v>1613</v>
      </c>
      <c r="D926" t="s">
        <v>78</v>
      </c>
      <c r="E926" t="s">
        <v>1915</v>
      </c>
      <c r="F926" t="s">
        <v>1781</v>
      </c>
    </row>
    <row r="927" spans="3:7" x14ac:dyDescent="0.2">
      <c r="D927" t="s">
        <v>82</v>
      </c>
      <c r="E927" t="s">
        <v>1916</v>
      </c>
      <c r="F927" t="s">
        <v>1837</v>
      </c>
    </row>
    <row r="928" spans="3:7" x14ac:dyDescent="0.2">
      <c r="D928" t="s">
        <v>83</v>
      </c>
      <c r="E928" t="s">
        <v>1915</v>
      </c>
      <c r="F928" t="s">
        <v>1781</v>
      </c>
    </row>
    <row r="929" spans="3:6" x14ac:dyDescent="0.2">
      <c r="D929" t="s">
        <v>84</v>
      </c>
      <c r="E929" t="s">
        <v>1915</v>
      </c>
      <c r="F929" t="s">
        <v>1781</v>
      </c>
    </row>
    <row r="930" spans="3:6" x14ac:dyDescent="0.2">
      <c r="D930" t="s">
        <v>88</v>
      </c>
      <c r="E930" t="s">
        <v>1915</v>
      </c>
      <c r="F930" t="s">
        <v>1781</v>
      </c>
    </row>
    <row r="931" spans="3:6" x14ac:dyDescent="0.2">
      <c r="C931" t="s">
        <v>1614</v>
      </c>
      <c r="D931" t="s">
        <v>78</v>
      </c>
      <c r="E931" t="s">
        <v>1915</v>
      </c>
      <c r="F931" t="s">
        <v>1781</v>
      </c>
    </row>
    <row r="932" spans="3:6" x14ac:dyDescent="0.2">
      <c r="D932" t="s">
        <v>82</v>
      </c>
      <c r="E932" t="s">
        <v>1916</v>
      </c>
      <c r="F932" t="s">
        <v>1837</v>
      </c>
    </row>
    <row r="933" spans="3:6" x14ac:dyDescent="0.2">
      <c r="D933" t="s">
        <v>76</v>
      </c>
      <c r="E933" t="s">
        <v>1915</v>
      </c>
      <c r="F933" t="s">
        <v>1781</v>
      </c>
    </row>
    <row r="934" spans="3:6" x14ac:dyDescent="0.2">
      <c r="D934" t="s">
        <v>87</v>
      </c>
      <c r="E934" t="s">
        <v>1916</v>
      </c>
      <c r="F934" t="s">
        <v>1837</v>
      </c>
    </row>
    <row r="935" spans="3:6" x14ac:dyDescent="0.2">
      <c r="C935" t="s">
        <v>1615</v>
      </c>
      <c r="D935" t="s">
        <v>73</v>
      </c>
      <c r="E935" t="s">
        <v>1915</v>
      </c>
      <c r="F935" t="s">
        <v>1781</v>
      </c>
    </row>
    <row r="936" spans="3:6" x14ac:dyDescent="0.2">
      <c r="D936" t="s">
        <v>74</v>
      </c>
      <c r="E936" t="s">
        <v>1916</v>
      </c>
      <c r="F936" t="s">
        <v>1837</v>
      </c>
    </row>
    <row r="937" spans="3:6" x14ac:dyDescent="0.2">
      <c r="D937" t="s">
        <v>76</v>
      </c>
      <c r="E937" t="s">
        <v>1915</v>
      </c>
      <c r="F937" t="s">
        <v>1781</v>
      </c>
    </row>
    <row r="938" spans="3:6" x14ac:dyDescent="0.2">
      <c r="D938" t="s">
        <v>78</v>
      </c>
      <c r="E938" t="s">
        <v>1915</v>
      </c>
      <c r="F938" t="s">
        <v>1781</v>
      </c>
    </row>
    <row r="939" spans="3:6" x14ac:dyDescent="0.2">
      <c r="D939" t="s">
        <v>79</v>
      </c>
      <c r="E939" t="s">
        <v>1915</v>
      </c>
      <c r="F939" t="s">
        <v>1781</v>
      </c>
    </row>
    <row r="940" spans="3:6" x14ac:dyDescent="0.2">
      <c r="D940" t="s">
        <v>81</v>
      </c>
      <c r="E940" t="s">
        <v>1915</v>
      </c>
      <c r="F940" t="s">
        <v>1781</v>
      </c>
    </row>
    <row r="941" spans="3:6" x14ac:dyDescent="0.2">
      <c r="D941" t="s">
        <v>82</v>
      </c>
      <c r="E941" t="s">
        <v>1916</v>
      </c>
      <c r="F941" t="s">
        <v>1837</v>
      </c>
    </row>
    <row r="942" spans="3:6" x14ac:dyDescent="0.2">
      <c r="D942" t="s">
        <v>83</v>
      </c>
      <c r="E942" t="s">
        <v>1915</v>
      </c>
      <c r="F942" t="s">
        <v>1781</v>
      </c>
    </row>
    <row r="943" spans="3:6" x14ac:dyDescent="0.2">
      <c r="D943" t="s">
        <v>84</v>
      </c>
      <c r="E943" t="s">
        <v>1915</v>
      </c>
      <c r="F943" t="s">
        <v>1781</v>
      </c>
    </row>
    <row r="944" spans="3:6" x14ac:dyDescent="0.2">
      <c r="D944" t="s">
        <v>87</v>
      </c>
      <c r="E944" t="s">
        <v>1916</v>
      </c>
      <c r="F944" t="s">
        <v>1837</v>
      </c>
    </row>
    <row r="945" spans="3:7" x14ac:dyDescent="0.2">
      <c r="C945" t="s">
        <v>1616</v>
      </c>
      <c r="D945" t="s">
        <v>73</v>
      </c>
      <c r="E945" t="s">
        <v>1915</v>
      </c>
      <c r="F945" t="s">
        <v>1781</v>
      </c>
    </row>
    <row r="946" spans="3:7" x14ac:dyDescent="0.2">
      <c r="D946" t="s">
        <v>74</v>
      </c>
      <c r="E946" t="s">
        <v>1916</v>
      </c>
      <c r="F946" t="s">
        <v>1837</v>
      </c>
    </row>
    <row r="947" spans="3:7" x14ac:dyDescent="0.2">
      <c r="D947" t="s">
        <v>76</v>
      </c>
      <c r="E947" t="s">
        <v>1915</v>
      </c>
      <c r="F947" t="s">
        <v>1781</v>
      </c>
    </row>
    <row r="948" spans="3:7" x14ac:dyDescent="0.2">
      <c r="D948" t="s">
        <v>78</v>
      </c>
      <c r="E948" t="s">
        <v>1915</v>
      </c>
      <c r="F948" t="s">
        <v>1781</v>
      </c>
    </row>
    <row r="949" spans="3:7" x14ac:dyDescent="0.2">
      <c r="D949" t="s">
        <v>79</v>
      </c>
      <c r="E949" t="s">
        <v>1917</v>
      </c>
      <c r="F949" t="s">
        <v>1802</v>
      </c>
      <c r="G949" t="s">
        <v>1918</v>
      </c>
    </row>
    <row r="950" spans="3:7" x14ac:dyDescent="0.2">
      <c r="D950" t="s">
        <v>81</v>
      </c>
      <c r="E950" t="s">
        <v>1915</v>
      </c>
      <c r="F950" t="s">
        <v>1781</v>
      </c>
    </row>
    <row r="951" spans="3:7" x14ac:dyDescent="0.2">
      <c r="D951" t="s">
        <v>82</v>
      </c>
      <c r="E951" t="s">
        <v>1916</v>
      </c>
      <c r="F951" t="s">
        <v>1837</v>
      </c>
    </row>
    <row r="952" spans="3:7" x14ac:dyDescent="0.2">
      <c r="D952" t="s">
        <v>83</v>
      </c>
      <c r="E952" t="s">
        <v>1915</v>
      </c>
      <c r="F952" t="s">
        <v>1781</v>
      </c>
    </row>
    <row r="953" spans="3:7" x14ac:dyDescent="0.2">
      <c r="D953" t="s">
        <v>84</v>
      </c>
      <c r="E953" t="s">
        <v>1915</v>
      </c>
      <c r="F953" t="s">
        <v>1781</v>
      </c>
    </row>
    <row r="954" spans="3:7" x14ac:dyDescent="0.2">
      <c r="D954" t="s">
        <v>87</v>
      </c>
      <c r="E954" t="s">
        <v>1916</v>
      </c>
      <c r="F954" t="s">
        <v>1837</v>
      </c>
    </row>
    <row r="955" spans="3:7" x14ac:dyDescent="0.2">
      <c r="D955" t="s">
        <v>88</v>
      </c>
      <c r="E955" t="s">
        <v>1915</v>
      </c>
      <c r="F955" t="s">
        <v>1781</v>
      </c>
    </row>
    <row r="956" spans="3:7" x14ac:dyDescent="0.2">
      <c r="C956" t="s">
        <v>1617</v>
      </c>
      <c r="D956" t="s">
        <v>73</v>
      </c>
      <c r="E956" t="s">
        <v>1915</v>
      </c>
      <c r="F956" t="s">
        <v>1781</v>
      </c>
    </row>
    <row r="957" spans="3:7" x14ac:dyDescent="0.2">
      <c r="D957" t="s">
        <v>74</v>
      </c>
      <c r="E957" t="s">
        <v>1916</v>
      </c>
      <c r="F957" t="s">
        <v>1837</v>
      </c>
    </row>
    <row r="958" spans="3:7" x14ac:dyDescent="0.2">
      <c r="D958" t="s">
        <v>76</v>
      </c>
      <c r="E958" t="s">
        <v>1916</v>
      </c>
      <c r="F958" t="s">
        <v>1837</v>
      </c>
    </row>
    <row r="959" spans="3:7" x14ac:dyDescent="0.2">
      <c r="D959" t="s">
        <v>78</v>
      </c>
      <c r="E959" t="s">
        <v>1915</v>
      </c>
      <c r="F959" t="s">
        <v>1781</v>
      </c>
    </row>
    <row r="960" spans="3:7" x14ac:dyDescent="0.2">
      <c r="D960" t="s">
        <v>82</v>
      </c>
      <c r="E960" t="s">
        <v>1916</v>
      </c>
      <c r="F960" t="s">
        <v>1837</v>
      </c>
    </row>
    <row r="961" spans="3:6" x14ac:dyDescent="0.2">
      <c r="D961" t="s">
        <v>84</v>
      </c>
      <c r="E961" t="s">
        <v>1915</v>
      </c>
      <c r="F961" t="s">
        <v>1781</v>
      </c>
    </row>
    <row r="962" spans="3:6" x14ac:dyDescent="0.2">
      <c r="D962" t="s">
        <v>87</v>
      </c>
      <c r="E962" t="s">
        <v>1916</v>
      </c>
      <c r="F962" t="s">
        <v>1837</v>
      </c>
    </row>
    <row r="963" spans="3:6" x14ac:dyDescent="0.2">
      <c r="C963" t="s">
        <v>1618</v>
      </c>
      <c r="D963" t="s">
        <v>76</v>
      </c>
      <c r="E963" t="s">
        <v>1915</v>
      </c>
      <c r="F963" t="s">
        <v>1781</v>
      </c>
    </row>
    <row r="964" spans="3:6" x14ac:dyDescent="0.2">
      <c r="D964" t="s">
        <v>74</v>
      </c>
      <c r="E964" t="s">
        <v>1916</v>
      </c>
      <c r="F964" t="s">
        <v>1837</v>
      </c>
    </row>
    <row r="965" spans="3:6" x14ac:dyDescent="0.2">
      <c r="D965" t="s">
        <v>78</v>
      </c>
      <c r="E965" t="s">
        <v>1915</v>
      </c>
      <c r="F965" t="s">
        <v>1781</v>
      </c>
    </row>
    <row r="966" spans="3:6" x14ac:dyDescent="0.2">
      <c r="D966" t="s">
        <v>82</v>
      </c>
      <c r="E966" t="s">
        <v>1916</v>
      </c>
      <c r="F966" t="s">
        <v>1837</v>
      </c>
    </row>
    <row r="967" spans="3:6" x14ac:dyDescent="0.2">
      <c r="D967" t="s">
        <v>83</v>
      </c>
      <c r="E967" t="s">
        <v>1915</v>
      </c>
      <c r="F967" t="s">
        <v>1781</v>
      </c>
    </row>
    <row r="968" spans="3:6" x14ac:dyDescent="0.2">
      <c r="D968" t="s">
        <v>84</v>
      </c>
      <c r="E968" t="s">
        <v>1915</v>
      </c>
      <c r="F968" t="s">
        <v>1781</v>
      </c>
    </row>
    <row r="969" spans="3:6" x14ac:dyDescent="0.2">
      <c r="D969" t="s">
        <v>87</v>
      </c>
      <c r="E969" t="s">
        <v>1916</v>
      </c>
      <c r="F969" t="s">
        <v>1837</v>
      </c>
    </row>
    <row r="970" spans="3:6" x14ac:dyDescent="0.2">
      <c r="D970" t="s">
        <v>88</v>
      </c>
      <c r="E970" t="s">
        <v>1915</v>
      </c>
      <c r="F970" t="s">
        <v>1781</v>
      </c>
    </row>
    <row r="971" spans="3:6" x14ac:dyDescent="0.2">
      <c r="C971" t="s">
        <v>1619</v>
      </c>
      <c r="D971" t="s">
        <v>76</v>
      </c>
      <c r="E971" t="s">
        <v>1915</v>
      </c>
      <c r="F971" t="s">
        <v>1781</v>
      </c>
    </row>
    <row r="972" spans="3:6" x14ac:dyDescent="0.2">
      <c r="D972" t="s">
        <v>74</v>
      </c>
      <c r="E972" t="s">
        <v>1916</v>
      </c>
      <c r="F972" t="s">
        <v>1837</v>
      </c>
    </row>
    <row r="973" spans="3:6" x14ac:dyDescent="0.2">
      <c r="D973" t="s">
        <v>78</v>
      </c>
      <c r="E973" t="s">
        <v>1915</v>
      </c>
      <c r="F973" t="s">
        <v>1781</v>
      </c>
    </row>
    <row r="974" spans="3:6" x14ac:dyDescent="0.2">
      <c r="D974" t="s">
        <v>81</v>
      </c>
      <c r="E974" t="s">
        <v>1915</v>
      </c>
      <c r="F974" t="s">
        <v>1781</v>
      </c>
    </row>
    <row r="975" spans="3:6" x14ac:dyDescent="0.2">
      <c r="D975" t="s">
        <v>82</v>
      </c>
      <c r="E975" t="s">
        <v>1916</v>
      </c>
      <c r="F975" t="s">
        <v>1837</v>
      </c>
    </row>
    <row r="976" spans="3:6" x14ac:dyDescent="0.2">
      <c r="D976" t="s">
        <v>83</v>
      </c>
      <c r="E976" t="s">
        <v>1915</v>
      </c>
      <c r="F976" t="s">
        <v>1781</v>
      </c>
    </row>
    <row r="977" spans="3:6" x14ac:dyDescent="0.2">
      <c r="D977" t="s">
        <v>84</v>
      </c>
      <c r="E977" t="s">
        <v>1915</v>
      </c>
      <c r="F977" t="s">
        <v>1781</v>
      </c>
    </row>
    <row r="978" spans="3:6" x14ac:dyDescent="0.2">
      <c r="D978" t="s">
        <v>87</v>
      </c>
      <c r="E978" t="s">
        <v>1916</v>
      </c>
      <c r="F978" t="s">
        <v>1837</v>
      </c>
    </row>
    <row r="979" spans="3:6" x14ac:dyDescent="0.2">
      <c r="D979" t="s">
        <v>88</v>
      </c>
      <c r="E979" t="s">
        <v>1915</v>
      </c>
      <c r="F979" t="s">
        <v>1781</v>
      </c>
    </row>
    <row r="980" spans="3:6" x14ac:dyDescent="0.2">
      <c r="C980" t="s">
        <v>1620</v>
      </c>
      <c r="D980" t="s">
        <v>76</v>
      </c>
      <c r="E980" t="s">
        <v>1915</v>
      </c>
      <c r="F980" t="s">
        <v>1781</v>
      </c>
    </row>
    <row r="981" spans="3:6" x14ac:dyDescent="0.2">
      <c r="D981" t="s">
        <v>74</v>
      </c>
      <c r="E981" t="s">
        <v>1916</v>
      </c>
      <c r="F981" t="s">
        <v>1837</v>
      </c>
    </row>
    <row r="982" spans="3:6" x14ac:dyDescent="0.2">
      <c r="D982" t="s">
        <v>78</v>
      </c>
      <c r="E982" t="s">
        <v>1915</v>
      </c>
      <c r="F982" t="s">
        <v>1781</v>
      </c>
    </row>
    <row r="983" spans="3:6" x14ac:dyDescent="0.2">
      <c r="D983" t="s">
        <v>81</v>
      </c>
      <c r="E983" t="s">
        <v>1915</v>
      </c>
      <c r="F983" t="s">
        <v>1781</v>
      </c>
    </row>
    <row r="984" spans="3:6" x14ac:dyDescent="0.2">
      <c r="D984" t="s">
        <v>82</v>
      </c>
      <c r="E984" t="s">
        <v>1916</v>
      </c>
      <c r="F984" t="s">
        <v>1837</v>
      </c>
    </row>
    <row r="985" spans="3:6" x14ac:dyDescent="0.2">
      <c r="D985" t="s">
        <v>83</v>
      </c>
      <c r="E985" t="s">
        <v>1915</v>
      </c>
      <c r="F985" t="s">
        <v>1781</v>
      </c>
    </row>
    <row r="986" spans="3:6" x14ac:dyDescent="0.2">
      <c r="D986" t="s">
        <v>84</v>
      </c>
      <c r="E986" t="s">
        <v>1915</v>
      </c>
      <c r="F986" t="s">
        <v>1781</v>
      </c>
    </row>
    <row r="987" spans="3:6" x14ac:dyDescent="0.2">
      <c r="D987" t="s">
        <v>87</v>
      </c>
      <c r="E987" t="s">
        <v>1916</v>
      </c>
      <c r="F987" t="s">
        <v>1837</v>
      </c>
    </row>
    <row r="988" spans="3:6" x14ac:dyDescent="0.2">
      <c r="C988" t="s">
        <v>1621</v>
      </c>
      <c r="D988" t="s">
        <v>76</v>
      </c>
      <c r="E988" t="s">
        <v>1915</v>
      </c>
      <c r="F988" t="s">
        <v>1781</v>
      </c>
    </row>
    <row r="989" spans="3:6" x14ac:dyDescent="0.2">
      <c r="D989" t="s">
        <v>74</v>
      </c>
      <c r="E989" t="s">
        <v>1916</v>
      </c>
      <c r="F989" t="s">
        <v>1837</v>
      </c>
    </row>
    <row r="990" spans="3:6" x14ac:dyDescent="0.2">
      <c r="D990" t="s">
        <v>78</v>
      </c>
      <c r="E990" t="s">
        <v>1915</v>
      </c>
      <c r="F990" t="s">
        <v>1781</v>
      </c>
    </row>
    <row r="991" spans="3:6" x14ac:dyDescent="0.2">
      <c r="D991" t="s">
        <v>82</v>
      </c>
      <c r="E991" t="s">
        <v>1916</v>
      </c>
      <c r="F991" t="s">
        <v>1837</v>
      </c>
    </row>
    <row r="992" spans="3:6" x14ac:dyDescent="0.2">
      <c r="D992" t="s">
        <v>83</v>
      </c>
      <c r="E992" t="s">
        <v>1915</v>
      </c>
      <c r="F992" t="s">
        <v>1781</v>
      </c>
    </row>
    <row r="993" spans="1:7" x14ac:dyDescent="0.2">
      <c r="D993" t="s">
        <v>84</v>
      </c>
      <c r="E993" t="s">
        <v>1915</v>
      </c>
      <c r="F993" t="s">
        <v>1781</v>
      </c>
    </row>
    <row r="994" spans="1:7" x14ac:dyDescent="0.2">
      <c r="D994" t="s">
        <v>87</v>
      </c>
      <c r="E994" t="s">
        <v>1916</v>
      </c>
      <c r="F994" t="s">
        <v>1837</v>
      </c>
    </row>
    <row r="995" spans="1:7" x14ac:dyDescent="0.2">
      <c r="D995" t="s">
        <v>88</v>
      </c>
      <c r="E995" t="s">
        <v>1915</v>
      </c>
      <c r="F995" t="s">
        <v>1781</v>
      </c>
    </row>
    <row r="996" spans="1:7" x14ac:dyDescent="0.2">
      <c r="C996" t="s">
        <v>1622</v>
      </c>
      <c r="D996" t="s">
        <v>76</v>
      </c>
      <c r="E996" t="s">
        <v>1915</v>
      </c>
      <c r="F996" t="s">
        <v>1781</v>
      </c>
    </row>
    <row r="997" spans="1:7" x14ac:dyDescent="0.2">
      <c r="D997" t="s">
        <v>74</v>
      </c>
      <c r="E997" t="s">
        <v>1916</v>
      </c>
      <c r="F997" t="s">
        <v>1837</v>
      </c>
    </row>
    <row r="998" spans="1:7" x14ac:dyDescent="0.2">
      <c r="D998" t="s">
        <v>78</v>
      </c>
      <c r="E998" t="s">
        <v>1915</v>
      </c>
      <c r="F998" t="s">
        <v>1781</v>
      </c>
    </row>
    <row r="999" spans="1:7" x14ac:dyDescent="0.2">
      <c r="D999" t="s">
        <v>82</v>
      </c>
      <c r="E999" t="s">
        <v>1916</v>
      </c>
      <c r="F999" t="s">
        <v>1837</v>
      </c>
    </row>
    <row r="1000" spans="1:7" x14ac:dyDescent="0.2">
      <c r="D1000" t="s">
        <v>83</v>
      </c>
      <c r="E1000" t="s">
        <v>1915</v>
      </c>
      <c r="F1000" t="s">
        <v>1781</v>
      </c>
    </row>
    <row r="1001" spans="1:7" x14ac:dyDescent="0.2">
      <c r="D1001" t="s">
        <v>84</v>
      </c>
      <c r="E1001" t="s">
        <v>1915</v>
      </c>
      <c r="F1001" t="s">
        <v>1781</v>
      </c>
    </row>
    <row r="1002" spans="1:7" x14ac:dyDescent="0.2">
      <c r="D1002" t="s">
        <v>87</v>
      </c>
      <c r="E1002" t="s">
        <v>1916</v>
      </c>
      <c r="F1002" t="s">
        <v>1837</v>
      </c>
    </row>
    <row r="1003" spans="1:7" ht="16" thickBot="1" x14ac:dyDescent="0.25">
      <c r="A1003" s="26"/>
      <c r="B1003" s="26"/>
      <c r="C1003" s="26"/>
      <c r="D1003" s="26" t="s">
        <v>88</v>
      </c>
      <c r="E1003" s="26" t="s">
        <v>1915</v>
      </c>
      <c r="F1003" s="26" t="s">
        <v>1781</v>
      </c>
      <c r="G1003" s="26"/>
    </row>
    <row r="1004" spans="1:7" x14ac:dyDescent="0.2">
      <c r="A1004" t="s">
        <v>1639</v>
      </c>
      <c r="B1004" t="s">
        <v>1640</v>
      </c>
      <c r="C1004" t="s">
        <v>1641</v>
      </c>
      <c r="D1004" t="s">
        <v>84</v>
      </c>
      <c r="E1004" t="s">
        <v>1919</v>
      </c>
      <c r="F1004" t="s">
        <v>1792</v>
      </c>
    </row>
    <row r="1005" spans="1:7" x14ac:dyDescent="0.2">
      <c r="D1005" t="s">
        <v>87</v>
      </c>
      <c r="E1005" t="s">
        <v>1920</v>
      </c>
      <c r="F1005" t="s">
        <v>1797</v>
      </c>
    </row>
    <row r="1006" spans="1:7" x14ac:dyDescent="0.2">
      <c r="C1006" t="s">
        <v>1642</v>
      </c>
      <c r="D1006" t="s">
        <v>84</v>
      </c>
      <c r="E1006" t="s">
        <v>1919</v>
      </c>
      <c r="F1006" t="s">
        <v>1792</v>
      </c>
    </row>
    <row r="1007" spans="1:7" x14ac:dyDescent="0.2">
      <c r="D1007" t="s">
        <v>87</v>
      </c>
      <c r="E1007" t="s">
        <v>1920</v>
      </c>
      <c r="F1007" t="s">
        <v>1797</v>
      </c>
    </row>
    <row r="1008" spans="1:7" ht="16" thickBot="1" x14ac:dyDescent="0.25">
      <c r="A1008" s="26"/>
      <c r="B1008" s="26"/>
      <c r="C1008" s="26" t="s">
        <v>1643</v>
      </c>
      <c r="D1008" s="26" t="s">
        <v>87</v>
      </c>
      <c r="E1008" s="26" t="s">
        <v>1920</v>
      </c>
      <c r="F1008" s="26" t="s">
        <v>1797</v>
      </c>
      <c r="G1008" s="26"/>
    </row>
    <row r="1009" spans="1:7" x14ac:dyDescent="0.2">
      <c r="A1009" t="s">
        <v>1666</v>
      </c>
      <c r="B1009" t="s">
        <v>1667</v>
      </c>
      <c r="C1009" t="s">
        <v>1670</v>
      </c>
      <c r="D1009" t="s">
        <v>84</v>
      </c>
      <c r="E1009" t="s">
        <v>1843</v>
      </c>
      <c r="F1009" t="s">
        <v>1837</v>
      </c>
    </row>
    <row r="1010" spans="1:7" x14ac:dyDescent="0.2">
      <c r="C1010" t="s">
        <v>1671</v>
      </c>
      <c r="D1010" t="s">
        <v>72</v>
      </c>
      <c r="E1010" t="s">
        <v>1784</v>
      </c>
      <c r="F1010" t="s">
        <v>1837</v>
      </c>
    </row>
    <row r="1011" spans="1:7" x14ac:dyDescent="0.2">
      <c r="D1011" t="s">
        <v>78</v>
      </c>
      <c r="E1011" t="s">
        <v>1921</v>
      </c>
      <c r="F1011" t="s">
        <v>1792</v>
      </c>
    </row>
    <row r="1012" spans="1:7" x14ac:dyDescent="0.2">
      <c r="D1012" t="s">
        <v>81</v>
      </c>
      <c r="E1012" t="s">
        <v>1784</v>
      </c>
      <c r="F1012" t="s">
        <v>1837</v>
      </c>
    </row>
    <row r="1013" spans="1:7" x14ac:dyDescent="0.2">
      <c r="D1013" t="s">
        <v>83</v>
      </c>
      <c r="E1013" t="s">
        <v>1847</v>
      </c>
      <c r="F1013" t="s">
        <v>1795</v>
      </c>
    </row>
    <row r="1014" spans="1:7" x14ac:dyDescent="0.2">
      <c r="C1014" t="s">
        <v>1672</v>
      </c>
      <c r="D1014" t="s">
        <v>72</v>
      </c>
      <c r="E1014" t="s">
        <v>1784</v>
      </c>
      <c r="F1014" t="s">
        <v>1837</v>
      </c>
    </row>
    <row r="1015" spans="1:7" x14ac:dyDescent="0.2">
      <c r="D1015" t="s">
        <v>77</v>
      </c>
      <c r="E1015" t="s">
        <v>1847</v>
      </c>
      <c r="F1015" t="s">
        <v>1795</v>
      </c>
    </row>
    <row r="1016" spans="1:7" x14ac:dyDescent="0.2">
      <c r="D1016" t="s">
        <v>78</v>
      </c>
      <c r="E1016" t="s">
        <v>1921</v>
      </c>
      <c r="F1016" t="s">
        <v>1792</v>
      </c>
    </row>
    <row r="1017" spans="1:7" x14ac:dyDescent="0.2">
      <c r="D1017" t="s">
        <v>81</v>
      </c>
      <c r="E1017" t="s">
        <v>1784</v>
      </c>
      <c r="F1017" t="s">
        <v>1837</v>
      </c>
    </row>
    <row r="1018" spans="1:7" x14ac:dyDescent="0.2">
      <c r="D1018" t="s">
        <v>83</v>
      </c>
      <c r="E1018" t="s">
        <v>1847</v>
      </c>
      <c r="F1018" t="s">
        <v>1795</v>
      </c>
    </row>
    <row r="1019" spans="1:7" x14ac:dyDescent="0.2">
      <c r="D1019" t="s">
        <v>86</v>
      </c>
      <c r="E1019" t="s">
        <v>1847</v>
      </c>
      <c r="F1019" t="s">
        <v>1795</v>
      </c>
    </row>
    <row r="1020" spans="1:7" x14ac:dyDescent="0.2">
      <c r="C1020" t="s">
        <v>1673</v>
      </c>
      <c r="D1020" t="s">
        <v>72</v>
      </c>
      <c r="E1020" t="s">
        <v>1784</v>
      </c>
      <c r="F1020" t="s">
        <v>1837</v>
      </c>
    </row>
    <row r="1021" spans="1:7" x14ac:dyDescent="0.2">
      <c r="D1021" t="s">
        <v>76</v>
      </c>
      <c r="E1021" t="s">
        <v>1784</v>
      </c>
      <c r="F1021" t="s">
        <v>1837</v>
      </c>
    </row>
    <row r="1022" spans="1:7" x14ac:dyDescent="0.2">
      <c r="D1022" t="s">
        <v>78</v>
      </c>
      <c r="E1022" t="s">
        <v>1921</v>
      </c>
      <c r="F1022" t="s">
        <v>1792</v>
      </c>
    </row>
    <row r="1023" spans="1:7" x14ac:dyDescent="0.2">
      <c r="D1023" t="s">
        <v>81</v>
      </c>
      <c r="E1023" t="s">
        <v>1784</v>
      </c>
      <c r="F1023" t="s">
        <v>1837</v>
      </c>
    </row>
    <row r="1024" spans="1:7" ht="16" thickBot="1" x14ac:dyDescent="0.25">
      <c r="A1024" s="26"/>
      <c r="B1024" s="26"/>
      <c r="C1024" s="26"/>
      <c r="D1024" s="26" t="s">
        <v>83</v>
      </c>
      <c r="E1024" s="26" t="s">
        <v>1847</v>
      </c>
      <c r="F1024" s="26" t="s">
        <v>1795</v>
      </c>
      <c r="G1024" s="26"/>
    </row>
    <row r="1025" spans="1:7" x14ac:dyDescent="0.2">
      <c r="A1025" t="s">
        <v>1674</v>
      </c>
      <c r="B1025" t="s">
        <v>1675</v>
      </c>
      <c r="C1025" t="s">
        <v>1677</v>
      </c>
      <c r="D1025" t="s">
        <v>79</v>
      </c>
      <c r="E1025" t="s">
        <v>1922</v>
      </c>
      <c r="F1025" t="s">
        <v>1829</v>
      </c>
    </row>
    <row r="1026" spans="1:7" x14ac:dyDescent="0.2">
      <c r="D1026" t="s">
        <v>87</v>
      </c>
      <c r="E1026" t="s">
        <v>1923</v>
      </c>
      <c r="F1026" t="s">
        <v>1829</v>
      </c>
    </row>
    <row r="1027" spans="1:7" x14ac:dyDescent="0.2">
      <c r="D1027" t="s">
        <v>88</v>
      </c>
      <c r="E1027" t="s">
        <v>1923</v>
      </c>
      <c r="F1027" t="s">
        <v>1829</v>
      </c>
    </row>
    <row r="1028" spans="1:7" x14ac:dyDescent="0.2">
      <c r="C1028" t="s">
        <v>1678</v>
      </c>
      <c r="D1028" t="s">
        <v>79</v>
      </c>
      <c r="E1028" t="s">
        <v>1922</v>
      </c>
      <c r="F1028" t="s">
        <v>1829</v>
      </c>
    </row>
    <row r="1029" spans="1:7" x14ac:dyDescent="0.2">
      <c r="D1029" t="s">
        <v>83</v>
      </c>
      <c r="E1029" t="s">
        <v>1924</v>
      </c>
      <c r="F1029" t="s">
        <v>1829</v>
      </c>
    </row>
    <row r="1030" spans="1:7" x14ac:dyDescent="0.2">
      <c r="D1030" t="s">
        <v>87</v>
      </c>
      <c r="E1030" t="s">
        <v>1923</v>
      </c>
      <c r="F1030" t="s">
        <v>1829</v>
      </c>
    </row>
    <row r="1031" spans="1:7" x14ac:dyDescent="0.2">
      <c r="D1031" t="s">
        <v>88</v>
      </c>
      <c r="E1031" t="s">
        <v>1923</v>
      </c>
      <c r="F1031" t="s">
        <v>1829</v>
      </c>
    </row>
    <row r="1032" spans="1:7" x14ac:dyDescent="0.2">
      <c r="C1032" t="s">
        <v>1679</v>
      </c>
      <c r="D1032" t="s">
        <v>79</v>
      </c>
      <c r="E1032" t="s">
        <v>1922</v>
      </c>
      <c r="F1032" t="s">
        <v>1829</v>
      </c>
    </row>
    <row r="1033" spans="1:7" x14ac:dyDescent="0.2">
      <c r="D1033" t="s">
        <v>87</v>
      </c>
      <c r="E1033" t="s">
        <v>1923</v>
      </c>
      <c r="F1033" t="s">
        <v>1829</v>
      </c>
    </row>
    <row r="1034" spans="1:7" ht="16" thickBot="1" x14ac:dyDescent="0.25">
      <c r="A1034" s="26"/>
      <c r="B1034" s="26"/>
      <c r="C1034" s="26"/>
      <c r="D1034" s="26" t="s">
        <v>88</v>
      </c>
      <c r="E1034" s="26" t="s">
        <v>1923</v>
      </c>
      <c r="F1034" s="26" t="s">
        <v>1829</v>
      </c>
      <c r="G1034" s="26"/>
    </row>
    <row r="1035" spans="1:7" x14ac:dyDescent="0.2">
      <c r="A1035" t="s">
        <v>1685</v>
      </c>
      <c r="B1035" t="s">
        <v>1686</v>
      </c>
      <c r="C1035" t="s">
        <v>1688</v>
      </c>
      <c r="D1035" t="s">
        <v>74</v>
      </c>
      <c r="E1035" t="s">
        <v>1925</v>
      </c>
      <c r="F1035" t="s">
        <v>1797</v>
      </c>
      <c r="G1035" t="s">
        <v>1926</v>
      </c>
    </row>
    <row r="1036" spans="1:7" x14ac:dyDescent="0.2">
      <c r="D1036" t="s">
        <v>12</v>
      </c>
      <c r="E1036" t="s">
        <v>1927</v>
      </c>
      <c r="F1036" t="s">
        <v>1797</v>
      </c>
      <c r="G1036" t="s">
        <v>1926</v>
      </c>
    </row>
    <row r="1037" spans="1:7" x14ac:dyDescent="0.2">
      <c r="D1037" t="s">
        <v>81</v>
      </c>
      <c r="E1037" t="s">
        <v>1925</v>
      </c>
      <c r="F1037" t="s">
        <v>1797</v>
      </c>
      <c r="G1037" t="s">
        <v>1926</v>
      </c>
    </row>
    <row r="1038" spans="1:7" x14ac:dyDescent="0.2">
      <c r="C1038" t="s">
        <v>1689</v>
      </c>
      <c r="D1038" t="s">
        <v>74</v>
      </c>
      <c r="E1038" t="s">
        <v>1925</v>
      </c>
      <c r="F1038" t="s">
        <v>1797</v>
      </c>
      <c r="G1038" t="s">
        <v>1926</v>
      </c>
    </row>
    <row r="1039" spans="1:7" ht="16" thickBot="1" x14ac:dyDescent="0.25">
      <c r="A1039" s="26"/>
      <c r="B1039" s="26"/>
      <c r="C1039" s="26"/>
      <c r="D1039" s="26" t="s">
        <v>12</v>
      </c>
      <c r="E1039" s="26" t="s">
        <v>1927</v>
      </c>
      <c r="F1039" s="26" t="s">
        <v>1797</v>
      </c>
      <c r="G1039" s="26" t="s">
        <v>1926</v>
      </c>
    </row>
    <row r="1040" spans="1:7" x14ac:dyDescent="0.2">
      <c r="A1040" t="s">
        <v>149</v>
      </c>
      <c r="B1040" t="s">
        <v>150</v>
      </c>
      <c r="C1040" t="s">
        <v>154</v>
      </c>
      <c r="D1040" t="s">
        <v>12</v>
      </c>
      <c r="E1040" t="s">
        <v>1928</v>
      </c>
      <c r="F1040" t="s">
        <v>1837</v>
      </c>
    </row>
    <row r="1041" spans="1:7" x14ac:dyDescent="0.2">
      <c r="D1041" t="s">
        <v>88</v>
      </c>
      <c r="E1041" t="s">
        <v>1885</v>
      </c>
      <c r="F1041" t="s">
        <v>1802</v>
      </c>
    </row>
    <row r="1042" spans="1:7" ht="16" thickBot="1" x14ac:dyDescent="0.25">
      <c r="A1042" s="26"/>
      <c r="B1042" s="26"/>
      <c r="C1042" s="26" t="s">
        <v>171</v>
      </c>
      <c r="D1042" s="26" t="s">
        <v>88</v>
      </c>
      <c r="E1042" s="26" t="s">
        <v>1885</v>
      </c>
      <c r="F1042" s="26" t="s">
        <v>1802</v>
      </c>
      <c r="G1042" s="26"/>
    </row>
    <row r="1043" spans="1:7" x14ac:dyDescent="0.2">
      <c r="A1043" t="s">
        <v>182</v>
      </c>
      <c r="B1043" t="s">
        <v>183</v>
      </c>
      <c r="C1043" t="s">
        <v>186</v>
      </c>
      <c r="D1043" t="s">
        <v>73</v>
      </c>
      <c r="E1043" t="s">
        <v>1877</v>
      </c>
      <c r="F1043" t="s">
        <v>1837</v>
      </c>
    </row>
    <row r="1044" spans="1:7" x14ac:dyDescent="0.2">
      <c r="D1044" t="s">
        <v>74</v>
      </c>
      <c r="E1044" t="s">
        <v>1877</v>
      </c>
      <c r="F1044" t="s">
        <v>1837</v>
      </c>
    </row>
    <row r="1045" spans="1:7" x14ac:dyDescent="0.2">
      <c r="D1045" t="s">
        <v>80</v>
      </c>
      <c r="E1045" t="s">
        <v>1877</v>
      </c>
      <c r="F1045" t="s">
        <v>1837</v>
      </c>
    </row>
    <row r="1046" spans="1:7" x14ac:dyDescent="0.2">
      <c r="D1046" t="s">
        <v>12</v>
      </c>
      <c r="E1046" t="s">
        <v>1877</v>
      </c>
      <c r="F1046" t="s">
        <v>1837</v>
      </c>
    </row>
    <row r="1047" spans="1:7" x14ac:dyDescent="0.2">
      <c r="D1047" t="s">
        <v>81</v>
      </c>
      <c r="E1047" t="s">
        <v>1877</v>
      </c>
      <c r="F1047" t="s">
        <v>1837</v>
      </c>
    </row>
    <row r="1048" spans="1:7" x14ac:dyDescent="0.2">
      <c r="D1048" t="s">
        <v>82</v>
      </c>
      <c r="E1048" t="s">
        <v>1877</v>
      </c>
      <c r="F1048" t="s">
        <v>1837</v>
      </c>
    </row>
    <row r="1049" spans="1:7" ht="16" thickBot="1" x14ac:dyDescent="0.25">
      <c r="A1049" s="26"/>
      <c r="B1049" s="26"/>
      <c r="C1049" s="26"/>
      <c r="D1049" s="26" t="s">
        <v>84</v>
      </c>
      <c r="E1049" s="26" t="s">
        <v>1929</v>
      </c>
      <c r="F1049" s="26" t="s">
        <v>1802</v>
      </c>
      <c r="G1049" s="26"/>
    </row>
    <row r="1050" spans="1:7" x14ac:dyDescent="0.2">
      <c r="A1050" t="s">
        <v>188</v>
      </c>
      <c r="B1050" t="s">
        <v>189</v>
      </c>
      <c r="C1050" t="s">
        <v>192</v>
      </c>
      <c r="D1050" t="s">
        <v>80</v>
      </c>
      <c r="E1050" t="s">
        <v>1784</v>
      </c>
      <c r="F1050" t="s">
        <v>1837</v>
      </c>
    </row>
    <row r="1051" spans="1:7" x14ac:dyDescent="0.2">
      <c r="D1051" t="s">
        <v>87</v>
      </c>
      <c r="E1051" t="s">
        <v>1784</v>
      </c>
      <c r="F1051" t="s">
        <v>1837</v>
      </c>
    </row>
    <row r="1052" spans="1:7" x14ac:dyDescent="0.2">
      <c r="C1052" t="s">
        <v>194</v>
      </c>
      <c r="D1052" t="s">
        <v>80</v>
      </c>
      <c r="E1052" t="s">
        <v>1784</v>
      </c>
      <c r="F1052" t="s">
        <v>1837</v>
      </c>
    </row>
    <row r="1053" spans="1:7" x14ac:dyDescent="0.2">
      <c r="C1053" t="s">
        <v>195</v>
      </c>
      <c r="D1053" t="s">
        <v>80</v>
      </c>
      <c r="E1053" t="s">
        <v>1784</v>
      </c>
      <c r="F1053" t="s">
        <v>1837</v>
      </c>
    </row>
    <row r="1054" spans="1:7" ht="16" thickBot="1" x14ac:dyDescent="0.25">
      <c r="A1054" s="26"/>
      <c r="B1054" s="26"/>
      <c r="C1054" s="26" t="s">
        <v>196</v>
      </c>
      <c r="D1054" s="26" t="s">
        <v>80</v>
      </c>
      <c r="E1054" s="26" t="s">
        <v>1784</v>
      </c>
      <c r="F1054" s="26" t="s">
        <v>1837</v>
      </c>
      <c r="G1054" s="26"/>
    </row>
    <row r="1055" spans="1:7" x14ac:dyDescent="0.2">
      <c r="A1055" t="s">
        <v>197</v>
      </c>
      <c r="B1055" t="s">
        <v>198</v>
      </c>
      <c r="C1055" t="s">
        <v>199</v>
      </c>
      <c r="D1055" t="s">
        <v>78</v>
      </c>
      <c r="E1055" t="s">
        <v>1930</v>
      </c>
      <c r="F1055" t="s">
        <v>1837</v>
      </c>
    </row>
    <row r="1056" spans="1:7" x14ac:dyDescent="0.2">
      <c r="D1056" t="s">
        <v>12</v>
      </c>
      <c r="E1056" t="s">
        <v>1931</v>
      </c>
      <c r="F1056" t="s">
        <v>1837</v>
      </c>
    </row>
    <row r="1057" spans="1:7" x14ac:dyDescent="0.2">
      <c r="D1057" t="s">
        <v>82</v>
      </c>
      <c r="E1057" t="s">
        <v>1931</v>
      </c>
      <c r="F1057" t="s">
        <v>1837</v>
      </c>
    </row>
    <row r="1058" spans="1:7" x14ac:dyDescent="0.2">
      <c r="C1058" t="s">
        <v>201</v>
      </c>
      <c r="D1058" t="s">
        <v>78</v>
      </c>
      <c r="E1058" t="s">
        <v>1930</v>
      </c>
      <c r="F1058" t="s">
        <v>1837</v>
      </c>
    </row>
    <row r="1059" spans="1:7" x14ac:dyDescent="0.2">
      <c r="D1059" t="s">
        <v>73</v>
      </c>
      <c r="E1059" t="s">
        <v>1930</v>
      </c>
      <c r="F1059" t="s">
        <v>1837</v>
      </c>
    </row>
    <row r="1060" spans="1:7" x14ac:dyDescent="0.2">
      <c r="D1060" t="s">
        <v>12</v>
      </c>
      <c r="E1060" t="s">
        <v>1931</v>
      </c>
      <c r="F1060" t="s">
        <v>1837</v>
      </c>
    </row>
    <row r="1061" spans="1:7" ht="16" thickBot="1" x14ac:dyDescent="0.25">
      <c r="A1061" s="26"/>
      <c r="B1061" s="26"/>
      <c r="C1061" s="26"/>
      <c r="D1061" s="26" t="s">
        <v>82</v>
      </c>
      <c r="E1061" s="26" t="s">
        <v>1931</v>
      </c>
      <c r="F1061" s="26" t="s">
        <v>1837</v>
      </c>
      <c r="G1061" s="26"/>
    </row>
    <row r="1062" spans="1:7" x14ac:dyDescent="0.2">
      <c r="A1062" t="s">
        <v>220</v>
      </c>
      <c r="B1062" t="s">
        <v>1932</v>
      </c>
      <c r="C1062" t="s">
        <v>224</v>
      </c>
      <c r="D1062" t="s">
        <v>74</v>
      </c>
      <c r="E1062" t="s">
        <v>1931</v>
      </c>
      <c r="F1062" t="s">
        <v>1837</v>
      </c>
    </row>
    <row r="1063" spans="1:7" x14ac:dyDescent="0.2">
      <c r="D1063" t="s">
        <v>12</v>
      </c>
      <c r="E1063" t="s">
        <v>1931</v>
      </c>
      <c r="F1063" t="s">
        <v>1837</v>
      </c>
    </row>
    <row r="1064" spans="1:7" x14ac:dyDescent="0.2">
      <c r="D1064" t="s">
        <v>81</v>
      </c>
      <c r="E1064" t="s">
        <v>1931</v>
      </c>
      <c r="F1064" t="s">
        <v>1837</v>
      </c>
    </row>
    <row r="1065" spans="1:7" x14ac:dyDescent="0.2">
      <c r="C1065" t="s">
        <v>226</v>
      </c>
      <c r="D1065" t="s">
        <v>12</v>
      </c>
      <c r="E1065" t="s">
        <v>1931</v>
      </c>
      <c r="F1065" t="s">
        <v>1837</v>
      </c>
    </row>
    <row r="1066" spans="1:7" x14ac:dyDescent="0.2">
      <c r="D1066" t="s">
        <v>81</v>
      </c>
      <c r="E1066" t="s">
        <v>1931</v>
      </c>
      <c r="F1066" t="s">
        <v>1837</v>
      </c>
    </row>
    <row r="1067" spans="1:7" x14ac:dyDescent="0.2">
      <c r="C1067" t="s">
        <v>227</v>
      </c>
      <c r="D1067" t="s">
        <v>12</v>
      </c>
      <c r="E1067" t="s">
        <v>1931</v>
      </c>
      <c r="F1067" t="s">
        <v>1837</v>
      </c>
    </row>
    <row r="1068" spans="1:7" ht="16" thickBot="1" x14ac:dyDescent="0.25">
      <c r="A1068" s="26"/>
      <c r="B1068" s="26"/>
      <c r="C1068" s="26"/>
      <c r="D1068" s="26" t="s">
        <v>81</v>
      </c>
      <c r="E1068" s="26" t="s">
        <v>1931</v>
      </c>
      <c r="F1068" s="26" t="s">
        <v>1837</v>
      </c>
      <c r="G1068" s="26"/>
    </row>
    <row r="1069" spans="1:7" x14ac:dyDescent="0.2">
      <c r="A1069" t="s">
        <v>228</v>
      </c>
      <c r="B1069" t="s">
        <v>1933</v>
      </c>
      <c r="C1069" t="s">
        <v>231</v>
      </c>
      <c r="D1069" t="s">
        <v>79</v>
      </c>
      <c r="E1069" t="s">
        <v>1931</v>
      </c>
      <c r="F1069" t="s">
        <v>1837</v>
      </c>
    </row>
    <row r="1070" spans="1:7" x14ac:dyDescent="0.2">
      <c r="C1070" t="s">
        <v>232</v>
      </c>
      <c r="D1070" t="s">
        <v>73</v>
      </c>
      <c r="E1070" t="s">
        <v>1931</v>
      </c>
      <c r="F1070" t="s">
        <v>1837</v>
      </c>
    </row>
    <row r="1071" spans="1:7" x14ac:dyDescent="0.2">
      <c r="D1071" t="s">
        <v>79</v>
      </c>
      <c r="E1071" t="s">
        <v>1931</v>
      </c>
      <c r="F1071" t="s">
        <v>1837</v>
      </c>
    </row>
    <row r="1072" spans="1:7" ht="16" thickBot="1" x14ac:dyDescent="0.25">
      <c r="A1072" s="26"/>
      <c r="B1072" s="26"/>
      <c r="C1072" s="26"/>
      <c r="D1072" s="26" t="s">
        <v>87</v>
      </c>
      <c r="E1072" s="26" t="s">
        <v>1931</v>
      </c>
      <c r="F1072" s="26" t="s">
        <v>1837</v>
      </c>
      <c r="G1072" s="26"/>
    </row>
    <row r="1073" spans="1:7" x14ac:dyDescent="0.2">
      <c r="A1073" t="s">
        <v>233</v>
      </c>
      <c r="B1073" t="s">
        <v>234</v>
      </c>
      <c r="C1073" t="s">
        <v>236</v>
      </c>
      <c r="D1073" t="s">
        <v>77</v>
      </c>
      <c r="E1073" t="s">
        <v>1931</v>
      </c>
      <c r="F1073" t="s">
        <v>1837</v>
      </c>
    </row>
    <row r="1074" spans="1:7" ht="16" thickBot="1" x14ac:dyDescent="0.25">
      <c r="A1074" s="26"/>
      <c r="B1074" s="26"/>
      <c r="C1074" s="26" t="s">
        <v>237</v>
      </c>
      <c r="D1074" s="26" t="s">
        <v>77</v>
      </c>
      <c r="E1074" s="26" t="s">
        <v>1931</v>
      </c>
      <c r="F1074" s="26" t="s">
        <v>1837</v>
      </c>
      <c r="G1074" s="26"/>
    </row>
    <row r="1075" spans="1:7" ht="16" thickBot="1" x14ac:dyDescent="0.25">
      <c r="A1075" s="30" t="s">
        <v>734</v>
      </c>
      <c r="B1075" s="30" t="s">
        <v>735</v>
      </c>
      <c r="C1075" s="30" t="s">
        <v>737</v>
      </c>
      <c r="D1075" s="30" t="s">
        <v>87</v>
      </c>
      <c r="E1075" s="30" t="s">
        <v>1934</v>
      </c>
      <c r="F1075" s="30" t="s">
        <v>1802</v>
      </c>
      <c r="G1075" s="30"/>
    </row>
    <row r="1076" spans="1:7" x14ac:dyDescent="0.2">
      <c r="A1076" t="s">
        <v>252</v>
      </c>
      <c r="B1076" t="s">
        <v>253</v>
      </c>
      <c r="C1076" t="s">
        <v>256</v>
      </c>
      <c r="D1076" t="s">
        <v>73</v>
      </c>
      <c r="E1076" t="s">
        <v>1931</v>
      </c>
      <c r="F1076" t="s">
        <v>1837</v>
      </c>
    </row>
    <row r="1077" spans="1:7" x14ac:dyDescent="0.2">
      <c r="D1077" t="s">
        <v>80</v>
      </c>
      <c r="E1077" t="s">
        <v>1931</v>
      </c>
      <c r="F1077" t="s">
        <v>1837</v>
      </c>
    </row>
    <row r="1078" spans="1:7" x14ac:dyDescent="0.2">
      <c r="D1078" t="s">
        <v>12</v>
      </c>
      <c r="E1078" t="s">
        <v>1931</v>
      </c>
      <c r="F1078" t="s">
        <v>1837</v>
      </c>
    </row>
    <row r="1079" spans="1:7" x14ac:dyDescent="0.2">
      <c r="C1079" t="s">
        <v>257</v>
      </c>
      <c r="D1079" t="s">
        <v>73</v>
      </c>
      <c r="E1079" t="s">
        <v>1931</v>
      </c>
      <c r="F1079" t="s">
        <v>1837</v>
      </c>
    </row>
    <row r="1080" spans="1:7" x14ac:dyDescent="0.2">
      <c r="D1080" t="s">
        <v>80</v>
      </c>
      <c r="E1080" t="s">
        <v>1931</v>
      </c>
      <c r="F1080" t="s">
        <v>1837</v>
      </c>
    </row>
    <row r="1081" spans="1:7" x14ac:dyDescent="0.2">
      <c r="D1081" t="s">
        <v>12</v>
      </c>
      <c r="E1081" t="s">
        <v>1931</v>
      </c>
      <c r="F1081" t="s">
        <v>1837</v>
      </c>
    </row>
    <row r="1082" spans="1:7" ht="16" thickBot="1" x14ac:dyDescent="0.25">
      <c r="A1082" s="26"/>
      <c r="B1082" s="26"/>
      <c r="C1082" s="26"/>
      <c r="D1082" s="26" t="s">
        <v>82</v>
      </c>
      <c r="E1082" s="26" t="s">
        <v>1931</v>
      </c>
      <c r="F1082" s="26" t="s">
        <v>1837</v>
      </c>
      <c r="G1082" s="26"/>
    </row>
    <row r="1083" spans="1:7" ht="16" thickBot="1" x14ac:dyDescent="0.25">
      <c r="A1083" s="30" t="s">
        <v>277</v>
      </c>
      <c r="B1083" s="30" t="s">
        <v>278</v>
      </c>
      <c r="C1083" s="30" t="s">
        <v>281</v>
      </c>
      <c r="D1083" s="30" t="s">
        <v>75</v>
      </c>
      <c r="E1083" s="30" t="s">
        <v>1935</v>
      </c>
      <c r="F1083" s="30" t="s">
        <v>1781</v>
      </c>
      <c r="G1083" s="30"/>
    </row>
    <row r="1084" spans="1:7" x14ac:dyDescent="0.2">
      <c r="A1084" t="s">
        <v>306</v>
      </c>
      <c r="B1084" t="s">
        <v>307</v>
      </c>
      <c r="C1084" t="s">
        <v>310</v>
      </c>
      <c r="D1084" t="s">
        <v>84</v>
      </c>
      <c r="E1084" t="s">
        <v>1931</v>
      </c>
      <c r="F1084" t="s">
        <v>1837</v>
      </c>
    </row>
    <row r="1085" spans="1:7" x14ac:dyDescent="0.2">
      <c r="C1085" t="s">
        <v>311</v>
      </c>
      <c r="D1085" t="s">
        <v>84</v>
      </c>
      <c r="E1085" t="s">
        <v>1931</v>
      </c>
      <c r="F1085" t="s">
        <v>1837</v>
      </c>
    </row>
    <row r="1086" spans="1:7" x14ac:dyDescent="0.2">
      <c r="C1086" t="s">
        <v>312</v>
      </c>
      <c r="D1086" t="s">
        <v>84</v>
      </c>
      <c r="E1086" t="s">
        <v>1931</v>
      </c>
      <c r="F1086" t="s">
        <v>1837</v>
      </c>
    </row>
    <row r="1087" spans="1:7" x14ac:dyDescent="0.2">
      <c r="C1087" t="s">
        <v>313</v>
      </c>
      <c r="D1087" t="s">
        <v>84</v>
      </c>
      <c r="E1087" t="s">
        <v>1931</v>
      </c>
      <c r="F1087" t="s">
        <v>1837</v>
      </c>
    </row>
    <row r="1088" spans="1:7" ht="16" thickBot="1" x14ac:dyDescent="0.25">
      <c r="A1088" s="26"/>
      <c r="B1088" s="26"/>
      <c r="C1088" s="26" t="s">
        <v>314</v>
      </c>
      <c r="D1088" s="26" t="s">
        <v>84</v>
      </c>
      <c r="E1088" s="26" t="s">
        <v>1931</v>
      </c>
      <c r="F1088" s="26" t="s">
        <v>1837</v>
      </c>
      <c r="G1088" s="26"/>
    </row>
    <row r="1089" spans="1:7" x14ac:dyDescent="0.2">
      <c r="A1089" t="s">
        <v>306</v>
      </c>
      <c r="B1089" t="s">
        <v>315</v>
      </c>
      <c r="C1089" t="s">
        <v>318</v>
      </c>
      <c r="D1089" t="s">
        <v>12</v>
      </c>
      <c r="E1089" t="s">
        <v>1931</v>
      </c>
      <c r="F1089" t="s">
        <v>1837</v>
      </c>
    </row>
    <row r="1090" spans="1:7" x14ac:dyDescent="0.2">
      <c r="C1090" t="s">
        <v>319</v>
      </c>
      <c r="D1090" t="s">
        <v>12</v>
      </c>
      <c r="E1090" t="s">
        <v>1931</v>
      </c>
      <c r="F1090" t="s">
        <v>1837</v>
      </c>
    </row>
    <row r="1091" spans="1:7" ht="16" thickBot="1" x14ac:dyDescent="0.25">
      <c r="A1091" s="26"/>
      <c r="B1091" s="26"/>
      <c r="C1091" s="26" t="s">
        <v>320</v>
      </c>
      <c r="D1091" s="26" t="s">
        <v>12</v>
      </c>
      <c r="E1091" s="26" t="s">
        <v>1931</v>
      </c>
      <c r="F1091" s="26" t="s">
        <v>1837</v>
      </c>
      <c r="G1091" s="26"/>
    </row>
    <row r="1092" spans="1:7" x14ac:dyDescent="0.2">
      <c r="A1092" t="s">
        <v>330</v>
      </c>
      <c r="B1092" t="s">
        <v>331</v>
      </c>
      <c r="C1092" t="s">
        <v>333</v>
      </c>
      <c r="D1092" t="s">
        <v>72</v>
      </c>
      <c r="E1092" t="s">
        <v>1931</v>
      </c>
      <c r="F1092" t="s">
        <v>1837</v>
      </c>
    </row>
    <row r="1093" spans="1:7" x14ac:dyDescent="0.2">
      <c r="D1093" t="s">
        <v>12</v>
      </c>
      <c r="E1093" t="s">
        <v>1931</v>
      </c>
      <c r="F1093" t="s">
        <v>1837</v>
      </c>
    </row>
    <row r="1094" spans="1:7" x14ac:dyDescent="0.2">
      <c r="D1094" t="s">
        <v>82</v>
      </c>
      <c r="E1094" t="s">
        <v>1931</v>
      </c>
      <c r="F1094" t="s">
        <v>1837</v>
      </c>
    </row>
    <row r="1095" spans="1:7" x14ac:dyDescent="0.2">
      <c r="C1095" t="s">
        <v>334</v>
      </c>
      <c r="D1095" t="s">
        <v>72</v>
      </c>
      <c r="E1095" t="s">
        <v>1931</v>
      </c>
      <c r="F1095" t="s">
        <v>1837</v>
      </c>
    </row>
    <row r="1096" spans="1:7" x14ac:dyDescent="0.2">
      <c r="D1096" t="s">
        <v>12</v>
      </c>
      <c r="E1096" t="s">
        <v>1931</v>
      </c>
      <c r="F1096" t="s">
        <v>1837</v>
      </c>
    </row>
    <row r="1097" spans="1:7" ht="16" thickBot="1" x14ac:dyDescent="0.25">
      <c r="A1097" s="26"/>
      <c r="B1097" s="26"/>
      <c r="C1097" s="26"/>
      <c r="D1097" s="26" t="s">
        <v>82</v>
      </c>
      <c r="E1097" s="26" t="s">
        <v>1931</v>
      </c>
      <c r="F1097" s="26" t="s">
        <v>1837</v>
      </c>
      <c r="G1097" s="26"/>
    </row>
    <row r="1098" spans="1:7" x14ac:dyDescent="0.2">
      <c r="A1098" t="s">
        <v>345</v>
      </c>
      <c r="B1098" t="s">
        <v>346</v>
      </c>
      <c r="C1098" t="s">
        <v>348</v>
      </c>
      <c r="D1098" t="s">
        <v>72</v>
      </c>
      <c r="E1098" t="s">
        <v>1931</v>
      </c>
      <c r="F1098" t="s">
        <v>1837</v>
      </c>
    </row>
    <row r="1099" spans="1:7" x14ac:dyDescent="0.2">
      <c r="D1099" t="s">
        <v>77</v>
      </c>
      <c r="E1099" t="s">
        <v>1931</v>
      </c>
      <c r="F1099" t="s">
        <v>1837</v>
      </c>
    </row>
    <row r="1100" spans="1:7" x14ac:dyDescent="0.2">
      <c r="D1100" t="s">
        <v>12</v>
      </c>
      <c r="E1100" t="s">
        <v>1931</v>
      </c>
      <c r="F1100" t="s">
        <v>1837</v>
      </c>
    </row>
    <row r="1101" spans="1:7" ht="16" thickBot="1" x14ac:dyDescent="0.25">
      <c r="A1101" s="26"/>
      <c r="B1101" s="26"/>
      <c r="C1101" s="26"/>
      <c r="D1101" s="26" t="s">
        <v>86</v>
      </c>
      <c r="E1101" s="26" t="s">
        <v>1931</v>
      </c>
      <c r="F1101" s="26" t="s">
        <v>1837</v>
      </c>
      <c r="G1101" s="26"/>
    </row>
    <row r="1102" spans="1:7" x14ac:dyDescent="0.2">
      <c r="A1102" t="s">
        <v>350</v>
      </c>
      <c r="B1102" t="s">
        <v>351</v>
      </c>
      <c r="C1102" t="s">
        <v>357</v>
      </c>
      <c r="D1102" t="s">
        <v>73</v>
      </c>
      <c r="E1102" t="s">
        <v>1936</v>
      </c>
      <c r="F1102" t="s">
        <v>1781</v>
      </c>
      <c r="G1102" t="s">
        <v>1937</v>
      </c>
    </row>
    <row r="1103" spans="1:7" x14ac:dyDescent="0.2">
      <c r="D1103" t="s">
        <v>76</v>
      </c>
      <c r="E1103" t="s">
        <v>1938</v>
      </c>
      <c r="F1103" t="s">
        <v>1781</v>
      </c>
    </row>
    <row r="1104" spans="1:7" x14ac:dyDescent="0.2">
      <c r="D1104" t="s">
        <v>78</v>
      </c>
      <c r="E1104" t="s">
        <v>1938</v>
      </c>
      <c r="F1104" t="s">
        <v>1781</v>
      </c>
    </row>
    <row r="1105" spans="1:7" x14ac:dyDescent="0.2">
      <c r="D1105" t="s">
        <v>79</v>
      </c>
      <c r="E1105" t="s">
        <v>1905</v>
      </c>
      <c r="F1105" t="s">
        <v>1837</v>
      </c>
    </row>
    <row r="1106" spans="1:7" x14ac:dyDescent="0.2">
      <c r="D1106" t="s">
        <v>85</v>
      </c>
      <c r="E1106" t="s">
        <v>1938</v>
      </c>
      <c r="F1106" t="s">
        <v>1781</v>
      </c>
    </row>
    <row r="1107" spans="1:7" x14ac:dyDescent="0.2">
      <c r="D1107" t="s">
        <v>86</v>
      </c>
      <c r="E1107" t="s">
        <v>1939</v>
      </c>
      <c r="F1107" t="s">
        <v>1837</v>
      </c>
    </row>
    <row r="1108" spans="1:7" x14ac:dyDescent="0.2">
      <c r="C1108" t="s">
        <v>356</v>
      </c>
      <c r="D1108" t="s">
        <v>73</v>
      </c>
      <c r="E1108" t="s">
        <v>1940</v>
      </c>
      <c r="F1108" t="s">
        <v>1837</v>
      </c>
      <c r="G1108" t="s">
        <v>1937</v>
      </c>
    </row>
    <row r="1109" spans="1:7" x14ac:dyDescent="0.2">
      <c r="D1109" t="s">
        <v>76</v>
      </c>
      <c r="E1109" t="s">
        <v>1938</v>
      </c>
      <c r="F1109" t="s">
        <v>1781</v>
      </c>
    </row>
    <row r="1110" spans="1:7" x14ac:dyDescent="0.2">
      <c r="D1110" t="s">
        <v>79</v>
      </c>
      <c r="E1110" t="s">
        <v>1905</v>
      </c>
      <c r="F1110" t="s">
        <v>1837</v>
      </c>
    </row>
    <row r="1111" spans="1:7" x14ac:dyDescent="0.2">
      <c r="D1111" t="s">
        <v>85</v>
      </c>
      <c r="E1111" t="s">
        <v>1938</v>
      </c>
      <c r="F1111" t="s">
        <v>1781</v>
      </c>
    </row>
    <row r="1112" spans="1:7" x14ac:dyDescent="0.2">
      <c r="D1112" t="s">
        <v>86</v>
      </c>
      <c r="E1112" t="s">
        <v>1939</v>
      </c>
      <c r="F1112" t="s">
        <v>1837</v>
      </c>
    </row>
    <row r="1113" spans="1:7" x14ac:dyDescent="0.2">
      <c r="C1113" t="s">
        <v>355</v>
      </c>
      <c r="D1113" t="s">
        <v>73</v>
      </c>
      <c r="E1113" t="s">
        <v>1940</v>
      </c>
      <c r="F1113" t="s">
        <v>1837</v>
      </c>
      <c r="G1113" t="s">
        <v>1937</v>
      </c>
    </row>
    <row r="1114" spans="1:7" x14ac:dyDescent="0.2">
      <c r="D1114" t="s">
        <v>79</v>
      </c>
      <c r="E1114" t="s">
        <v>1905</v>
      </c>
      <c r="F1114" t="s">
        <v>1837</v>
      </c>
    </row>
    <row r="1115" spans="1:7" x14ac:dyDescent="0.2">
      <c r="D1115" t="s">
        <v>85</v>
      </c>
      <c r="E1115" t="s">
        <v>1938</v>
      </c>
      <c r="F1115" t="s">
        <v>1781</v>
      </c>
    </row>
    <row r="1116" spans="1:7" x14ac:dyDescent="0.2">
      <c r="D1116" t="s">
        <v>86</v>
      </c>
      <c r="E1116" t="s">
        <v>1939</v>
      </c>
      <c r="F1116" t="s">
        <v>1837</v>
      </c>
    </row>
    <row r="1117" spans="1:7" x14ac:dyDescent="0.2">
      <c r="C1117" t="s">
        <v>354</v>
      </c>
      <c r="D1117" t="s">
        <v>73</v>
      </c>
      <c r="E1117" t="s">
        <v>1936</v>
      </c>
      <c r="F1117" t="s">
        <v>1781</v>
      </c>
      <c r="G1117" t="s">
        <v>1937</v>
      </c>
    </row>
    <row r="1118" spans="1:7" x14ac:dyDescent="0.2">
      <c r="D1118" t="s">
        <v>78</v>
      </c>
      <c r="E1118" t="s">
        <v>1938</v>
      </c>
      <c r="F1118" t="s">
        <v>1781</v>
      </c>
    </row>
    <row r="1119" spans="1:7" x14ac:dyDescent="0.2">
      <c r="D1119" t="s">
        <v>85</v>
      </c>
      <c r="E1119" t="s">
        <v>1941</v>
      </c>
      <c r="F1119" t="s">
        <v>1781</v>
      </c>
      <c r="G1119" t="s">
        <v>1942</v>
      </c>
    </row>
    <row r="1120" spans="1:7" ht="16" thickBot="1" x14ac:dyDescent="0.25">
      <c r="A1120" s="26"/>
      <c r="B1120" s="26"/>
      <c r="C1120" s="26"/>
      <c r="D1120" s="26" t="s">
        <v>87</v>
      </c>
      <c r="E1120" s="26" t="s">
        <v>1905</v>
      </c>
      <c r="F1120" s="26" t="s">
        <v>1837</v>
      </c>
      <c r="G1120" s="26"/>
    </row>
    <row r="1121" spans="1:7" x14ac:dyDescent="0.2">
      <c r="A1121" t="s">
        <v>387</v>
      </c>
      <c r="B1121" t="s">
        <v>388</v>
      </c>
      <c r="C1121" t="s">
        <v>390</v>
      </c>
      <c r="D1121" t="s">
        <v>72</v>
      </c>
      <c r="E1121" t="s">
        <v>1784</v>
      </c>
      <c r="F1121" t="s">
        <v>1837</v>
      </c>
      <c r="G1121" t="s">
        <v>1943</v>
      </c>
    </row>
    <row r="1122" spans="1:7" x14ac:dyDescent="0.2">
      <c r="D1122" t="s">
        <v>76</v>
      </c>
      <c r="E1122" t="s">
        <v>1784</v>
      </c>
      <c r="F1122" t="s">
        <v>1837</v>
      </c>
    </row>
    <row r="1123" spans="1:7" x14ac:dyDescent="0.2">
      <c r="D1123" t="s">
        <v>79</v>
      </c>
      <c r="E1123" t="s">
        <v>1784</v>
      </c>
      <c r="F1123" t="s">
        <v>1837</v>
      </c>
    </row>
    <row r="1124" spans="1:7" x14ac:dyDescent="0.2">
      <c r="D1124" t="s">
        <v>12</v>
      </c>
      <c r="E1124" t="s">
        <v>1784</v>
      </c>
      <c r="F1124" t="s">
        <v>1837</v>
      </c>
    </row>
    <row r="1125" spans="1:7" x14ac:dyDescent="0.2">
      <c r="C1125" t="s">
        <v>391</v>
      </c>
      <c r="D1125" t="s">
        <v>72</v>
      </c>
      <c r="E1125" t="s">
        <v>1784</v>
      </c>
      <c r="F1125" t="s">
        <v>1837</v>
      </c>
    </row>
    <row r="1126" spans="1:7" x14ac:dyDescent="0.2">
      <c r="D1126" t="s">
        <v>76</v>
      </c>
      <c r="E1126" t="s">
        <v>1784</v>
      </c>
      <c r="F1126" t="s">
        <v>1837</v>
      </c>
    </row>
    <row r="1127" spans="1:7" x14ac:dyDescent="0.2">
      <c r="D1127" t="s">
        <v>79</v>
      </c>
      <c r="E1127" t="s">
        <v>1784</v>
      </c>
      <c r="F1127" t="s">
        <v>1837</v>
      </c>
    </row>
    <row r="1128" spans="1:7" x14ac:dyDescent="0.2">
      <c r="D1128" t="s">
        <v>12</v>
      </c>
      <c r="E1128" t="s">
        <v>1784</v>
      </c>
      <c r="F1128" t="s">
        <v>1837</v>
      </c>
    </row>
    <row r="1129" spans="1:7" x14ac:dyDescent="0.2">
      <c r="C1129" t="s">
        <v>392</v>
      </c>
      <c r="D1129" t="s">
        <v>72</v>
      </c>
      <c r="E1129" t="s">
        <v>1784</v>
      </c>
      <c r="F1129" t="s">
        <v>1837</v>
      </c>
    </row>
    <row r="1130" spans="1:7" x14ac:dyDescent="0.2">
      <c r="D1130" t="s">
        <v>76</v>
      </c>
      <c r="E1130" t="s">
        <v>1784</v>
      </c>
      <c r="F1130" t="s">
        <v>1837</v>
      </c>
    </row>
    <row r="1131" spans="1:7" x14ac:dyDescent="0.2">
      <c r="D1131" t="s">
        <v>79</v>
      </c>
      <c r="E1131" t="s">
        <v>1784</v>
      </c>
      <c r="F1131" t="s">
        <v>1837</v>
      </c>
    </row>
    <row r="1132" spans="1:7" x14ac:dyDescent="0.2">
      <c r="D1132" t="s">
        <v>12</v>
      </c>
      <c r="E1132" t="s">
        <v>1784</v>
      </c>
      <c r="F1132" t="s">
        <v>1837</v>
      </c>
    </row>
    <row r="1133" spans="1:7" x14ac:dyDescent="0.2">
      <c r="C1133" t="s">
        <v>393</v>
      </c>
      <c r="D1133" t="s">
        <v>72</v>
      </c>
      <c r="E1133" t="s">
        <v>1784</v>
      </c>
      <c r="F1133" t="s">
        <v>1837</v>
      </c>
    </row>
    <row r="1134" spans="1:7" x14ac:dyDescent="0.2">
      <c r="D1134" t="s">
        <v>76</v>
      </c>
      <c r="E1134" t="s">
        <v>1784</v>
      </c>
      <c r="F1134" t="s">
        <v>1837</v>
      </c>
    </row>
    <row r="1135" spans="1:7" x14ac:dyDescent="0.2">
      <c r="D1135" t="s">
        <v>79</v>
      </c>
      <c r="E1135" t="s">
        <v>1784</v>
      </c>
      <c r="F1135" t="s">
        <v>1837</v>
      </c>
    </row>
    <row r="1136" spans="1:7" x14ac:dyDescent="0.2">
      <c r="D1136" t="s">
        <v>12</v>
      </c>
      <c r="E1136" t="s">
        <v>1784</v>
      </c>
      <c r="F1136" t="s">
        <v>1837</v>
      </c>
    </row>
    <row r="1137" spans="3:6" x14ac:dyDescent="0.2">
      <c r="C1137" t="s">
        <v>394</v>
      </c>
      <c r="D1137" t="s">
        <v>73</v>
      </c>
      <c r="E1137" t="s">
        <v>1921</v>
      </c>
      <c r="F1137" t="s">
        <v>1792</v>
      </c>
    </row>
    <row r="1138" spans="3:6" x14ac:dyDescent="0.2">
      <c r="D1138" t="s">
        <v>79</v>
      </c>
      <c r="E1138" t="s">
        <v>1944</v>
      </c>
      <c r="F1138" t="s">
        <v>1837</v>
      </c>
    </row>
    <row r="1139" spans="3:6" x14ac:dyDescent="0.2">
      <c r="D1139" t="s">
        <v>12</v>
      </c>
      <c r="E1139" t="s">
        <v>1945</v>
      </c>
      <c r="F1139" t="s">
        <v>1837</v>
      </c>
    </row>
    <row r="1140" spans="3:6" x14ac:dyDescent="0.2">
      <c r="D1140" t="s">
        <v>84</v>
      </c>
      <c r="E1140" t="s">
        <v>1946</v>
      </c>
      <c r="F1140" t="s">
        <v>1792</v>
      </c>
    </row>
    <row r="1141" spans="3:6" x14ac:dyDescent="0.2">
      <c r="D1141" t="s">
        <v>87</v>
      </c>
      <c r="E1141" t="s">
        <v>1947</v>
      </c>
      <c r="F1141" t="s">
        <v>1792</v>
      </c>
    </row>
    <row r="1142" spans="3:6" x14ac:dyDescent="0.2">
      <c r="C1142" t="s">
        <v>395</v>
      </c>
      <c r="D1142" t="s">
        <v>73</v>
      </c>
      <c r="E1142" t="s">
        <v>1921</v>
      </c>
      <c r="F1142" t="s">
        <v>1792</v>
      </c>
    </row>
    <row r="1143" spans="3:6" x14ac:dyDescent="0.2">
      <c r="D1143" t="s">
        <v>79</v>
      </c>
      <c r="E1143" t="s">
        <v>1948</v>
      </c>
      <c r="F1143" t="s">
        <v>1837</v>
      </c>
    </row>
    <row r="1144" spans="3:6" x14ac:dyDescent="0.2">
      <c r="D1144" t="s">
        <v>12</v>
      </c>
      <c r="E1144" t="s">
        <v>1945</v>
      </c>
      <c r="F1144" t="s">
        <v>1837</v>
      </c>
    </row>
    <row r="1145" spans="3:6" x14ac:dyDescent="0.2">
      <c r="D1145" t="s">
        <v>84</v>
      </c>
      <c r="E1145" t="s">
        <v>1946</v>
      </c>
      <c r="F1145" t="s">
        <v>1792</v>
      </c>
    </row>
    <row r="1146" spans="3:6" x14ac:dyDescent="0.2">
      <c r="D1146" t="s">
        <v>87</v>
      </c>
      <c r="E1146" t="s">
        <v>1947</v>
      </c>
      <c r="F1146" t="s">
        <v>1792</v>
      </c>
    </row>
    <row r="1147" spans="3:6" x14ac:dyDescent="0.2">
      <c r="C1147" t="s">
        <v>396</v>
      </c>
      <c r="D1147" t="s">
        <v>79</v>
      </c>
      <c r="E1147" t="s">
        <v>1948</v>
      </c>
      <c r="F1147" t="s">
        <v>1837</v>
      </c>
    </row>
    <row r="1148" spans="3:6" x14ac:dyDescent="0.2">
      <c r="D1148" t="s">
        <v>12</v>
      </c>
      <c r="E1148" t="s">
        <v>1945</v>
      </c>
      <c r="F1148" t="s">
        <v>1837</v>
      </c>
    </row>
    <row r="1149" spans="3:6" x14ac:dyDescent="0.2">
      <c r="D1149" t="s">
        <v>84</v>
      </c>
      <c r="E1149" t="s">
        <v>1946</v>
      </c>
      <c r="F1149" t="s">
        <v>1792</v>
      </c>
    </row>
    <row r="1150" spans="3:6" x14ac:dyDescent="0.2">
      <c r="D1150" t="s">
        <v>87</v>
      </c>
      <c r="E1150" t="s">
        <v>1947</v>
      </c>
      <c r="F1150" t="s">
        <v>1792</v>
      </c>
    </row>
    <row r="1151" spans="3:6" x14ac:dyDescent="0.2">
      <c r="C1151" t="s">
        <v>397</v>
      </c>
      <c r="D1151" t="s">
        <v>79</v>
      </c>
      <c r="E1151" t="s">
        <v>1948</v>
      </c>
      <c r="F1151" t="s">
        <v>1837</v>
      </c>
    </row>
    <row r="1152" spans="3:6" x14ac:dyDescent="0.2">
      <c r="D1152" t="s">
        <v>12</v>
      </c>
      <c r="E1152" t="s">
        <v>1945</v>
      </c>
      <c r="F1152" t="s">
        <v>1837</v>
      </c>
    </row>
    <row r="1153" spans="1:7" x14ac:dyDescent="0.2">
      <c r="D1153" t="s">
        <v>84</v>
      </c>
      <c r="E1153" t="s">
        <v>1946</v>
      </c>
      <c r="F1153" t="s">
        <v>1792</v>
      </c>
    </row>
    <row r="1154" spans="1:7" ht="16" thickBot="1" x14ac:dyDescent="0.25">
      <c r="A1154" s="26"/>
      <c r="B1154" s="26"/>
      <c r="C1154" s="26"/>
      <c r="D1154" s="26" t="s">
        <v>87</v>
      </c>
      <c r="E1154" s="26" t="s">
        <v>1947</v>
      </c>
      <c r="F1154" s="26" t="s">
        <v>1792</v>
      </c>
      <c r="G1154" s="26"/>
    </row>
    <row r="1155" spans="1:7" x14ac:dyDescent="0.2">
      <c r="A1155" t="s">
        <v>398</v>
      </c>
      <c r="B1155" t="s">
        <v>399</v>
      </c>
      <c r="C1155" t="s">
        <v>400</v>
      </c>
      <c r="D1155" t="s">
        <v>73</v>
      </c>
      <c r="E1155" t="s">
        <v>1784</v>
      </c>
      <c r="F1155" t="s">
        <v>1837</v>
      </c>
    </row>
    <row r="1156" spans="1:7" x14ac:dyDescent="0.2">
      <c r="D1156" t="s">
        <v>76</v>
      </c>
      <c r="E1156" t="s">
        <v>1784</v>
      </c>
      <c r="F1156" t="s">
        <v>1837</v>
      </c>
    </row>
    <row r="1157" spans="1:7" x14ac:dyDescent="0.2">
      <c r="D1157" t="s">
        <v>80</v>
      </c>
      <c r="E1157" t="s">
        <v>1784</v>
      </c>
      <c r="F1157" t="s">
        <v>1837</v>
      </c>
    </row>
    <row r="1158" spans="1:7" x14ac:dyDescent="0.2">
      <c r="D1158" t="s">
        <v>12</v>
      </c>
      <c r="E1158" t="s">
        <v>1784</v>
      </c>
      <c r="F1158" t="s">
        <v>1837</v>
      </c>
    </row>
    <row r="1159" spans="1:7" x14ac:dyDescent="0.2">
      <c r="C1159" t="s">
        <v>402</v>
      </c>
      <c r="D1159" t="s">
        <v>73</v>
      </c>
      <c r="E1159" t="s">
        <v>1784</v>
      </c>
      <c r="F1159" t="s">
        <v>1837</v>
      </c>
    </row>
    <row r="1160" spans="1:7" ht="16" thickBot="1" x14ac:dyDescent="0.25">
      <c r="A1160" s="26"/>
      <c r="B1160" s="26"/>
      <c r="C1160" s="26"/>
      <c r="D1160" s="26" t="s">
        <v>80</v>
      </c>
      <c r="E1160" s="26" t="s">
        <v>1784</v>
      </c>
      <c r="F1160" s="26" t="s">
        <v>1837</v>
      </c>
      <c r="G1160" s="26"/>
    </row>
    <row r="1161" spans="1:7" x14ac:dyDescent="0.2">
      <c r="A1161" t="s">
        <v>403</v>
      </c>
      <c r="B1161" t="s">
        <v>404</v>
      </c>
      <c r="C1161" t="s">
        <v>407</v>
      </c>
      <c r="D1161" t="s">
        <v>73</v>
      </c>
      <c r="E1161" t="s">
        <v>1949</v>
      </c>
      <c r="F1161" t="s">
        <v>1802</v>
      </c>
    </row>
    <row r="1162" spans="1:7" x14ac:dyDescent="0.2">
      <c r="D1162" t="s">
        <v>74</v>
      </c>
      <c r="E1162" t="s">
        <v>1938</v>
      </c>
      <c r="F1162" t="s">
        <v>1781</v>
      </c>
    </row>
    <row r="1163" spans="1:7" x14ac:dyDescent="0.2">
      <c r="D1163" t="s">
        <v>77</v>
      </c>
      <c r="E1163" t="s">
        <v>1939</v>
      </c>
      <c r="F1163" t="s">
        <v>1837</v>
      </c>
    </row>
    <row r="1164" spans="1:7" x14ac:dyDescent="0.2">
      <c r="D1164" t="s">
        <v>76</v>
      </c>
      <c r="E1164" t="s">
        <v>1950</v>
      </c>
      <c r="F1164" t="s">
        <v>1781</v>
      </c>
    </row>
    <row r="1165" spans="1:7" x14ac:dyDescent="0.2">
      <c r="D1165" t="s">
        <v>81</v>
      </c>
      <c r="E1165" t="s">
        <v>1938</v>
      </c>
      <c r="F1165" t="s">
        <v>1781</v>
      </c>
    </row>
    <row r="1166" spans="1:7" x14ac:dyDescent="0.2">
      <c r="D1166" t="s">
        <v>82</v>
      </c>
      <c r="E1166" t="s">
        <v>1905</v>
      </c>
      <c r="F1166" t="s">
        <v>1837</v>
      </c>
    </row>
    <row r="1167" spans="1:7" ht="16" thickBot="1" x14ac:dyDescent="0.25">
      <c r="A1167" s="26"/>
      <c r="B1167" s="26"/>
      <c r="C1167" s="26"/>
      <c r="D1167" s="26" t="s">
        <v>84</v>
      </c>
      <c r="E1167" s="26" t="s">
        <v>1951</v>
      </c>
      <c r="F1167" s="26" t="s">
        <v>1781</v>
      </c>
      <c r="G1167" s="26"/>
    </row>
    <row r="1168" spans="1:7" x14ac:dyDescent="0.2">
      <c r="A1168" t="s">
        <v>409</v>
      </c>
      <c r="B1168" t="s">
        <v>410</v>
      </c>
      <c r="C1168" t="s">
        <v>412</v>
      </c>
      <c r="D1168" t="s">
        <v>80</v>
      </c>
      <c r="E1168" t="s">
        <v>1784</v>
      </c>
      <c r="F1168" t="s">
        <v>1837</v>
      </c>
    </row>
    <row r="1169" spans="1:7" ht="16" thickBot="1" x14ac:dyDescent="0.25">
      <c r="A1169" s="26"/>
      <c r="B1169" s="26"/>
      <c r="C1169" s="26"/>
      <c r="D1169" s="26" t="s">
        <v>12</v>
      </c>
      <c r="E1169" s="26" t="s">
        <v>1784</v>
      </c>
      <c r="F1169" s="26" t="s">
        <v>1837</v>
      </c>
      <c r="G1169" s="26"/>
    </row>
    <row r="1170" spans="1:7" x14ac:dyDescent="0.2">
      <c r="A1170" t="s">
        <v>431</v>
      </c>
      <c r="B1170" t="s">
        <v>432</v>
      </c>
      <c r="C1170" t="s">
        <v>438</v>
      </c>
      <c r="D1170" t="s">
        <v>12</v>
      </c>
      <c r="E1170" t="s">
        <v>1784</v>
      </c>
      <c r="F1170" t="s">
        <v>1837</v>
      </c>
    </row>
    <row r="1171" spans="1:7" x14ac:dyDescent="0.2">
      <c r="D1171" t="s">
        <v>82</v>
      </c>
      <c r="E1171" t="s">
        <v>1784</v>
      </c>
      <c r="F1171" t="s">
        <v>1837</v>
      </c>
    </row>
    <row r="1172" spans="1:7" ht="16" thickBot="1" x14ac:dyDescent="0.25">
      <c r="A1172" s="26"/>
      <c r="B1172" s="26"/>
      <c r="C1172" s="26"/>
      <c r="D1172" s="26" t="s">
        <v>84</v>
      </c>
      <c r="E1172" s="26" t="s">
        <v>1784</v>
      </c>
      <c r="F1172" s="26" t="s">
        <v>1837</v>
      </c>
      <c r="G1172" s="26"/>
    </row>
    <row r="1173" spans="1:7" ht="16" thickBot="1" x14ac:dyDescent="0.25">
      <c r="A1173" s="30" t="s">
        <v>458</v>
      </c>
      <c r="B1173" s="30" t="s">
        <v>459</v>
      </c>
      <c r="C1173" s="30" t="s">
        <v>462</v>
      </c>
      <c r="D1173" s="30" t="s">
        <v>82</v>
      </c>
      <c r="E1173" s="30" t="s">
        <v>1784</v>
      </c>
      <c r="F1173" s="30" t="s">
        <v>1837</v>
      </c>
      <c r="G1173" s="30"/>
    </row>
    <row r="1174" spans="1:7" x14ac:dyDescent="0.2">
      <c r="A1174" t="s">
        <v>483</v>
      </c>
      <c r="B1174" t="s">
        <v>484</v>
      </c>
      <c r="C1174" t="s">
        <v>485</v>
      </c>
      <c r="D1174" t="s">
        <v>72</v>
      </c>
      <c r="E1174" t="s">
        <v>1952</v>
      </c>
      <c r="F1174" t="s">
        <v>1837</v>
      </c>
    </row>
    <row r="1175" spans="1:7" x14ac:dyDescent="0.2">
      <c r="D1175" t="s">
        <v>74</v>
      </c>
      <c r="E1175" t="s">
        <v>1952</v>
      </c>
      <c r="F1175" t="s">
        <v>1837</v>
      </c>
    </row>
    <row r="1176" spans="1:7" x14ac:dyDescent="0.2">
      <c r="D1176" t="s">
        <v>75</v>
      </c>
      <c r="E1176" t="s">
        <v>1953</v>
      </c>
      <c r="F1176" t="s">
        <v>1837</v>
      </c>
    </row>
    <row r="1177" spans="1:7" ht="16" thickBot="1" x14ac:dyDescent="0.25">
      <c r="A1177" s="26"/>
      <c r="B1177" s="26"/>
      <c r="C1177" s="26"/>
      <c r="D1177" s="26" t="s">
        <v>80</v>
      </c>
      <c r="E1177" s="26" t="s">
        <v>1952</v>
      </c>
      <c r="F1177" s="26" t="s">
        <v>1837</v>
      </c>
      <c r="G1177" s="26"/>
    </row>
    <row r="1178" spans="1:7" x14ac:dyDescent="0.2">
      <c r="A1178" t="s">
        <v>492</v>
      </c>
      <c r="B1178" t="s">
        <v>493</v>
      </c>
      <c r="C1178" t="s">
        <v>496</v>
      </c>
      <c r="D1178" t="s">
        <v>73</v>
      </c>
      <c r="E1178" t="s">
        <v>1784</v>
      </c>
      <c r="F1178" t="s">
        <v>1837</v>
      </c>
    </row>
    <row r="1179" spans="1:7" x14ac:dyDescent="0.2">
      <c r="D1179" t="s">
        <v>77</v>
      </c>
      <c r="E1179" t="s">
        <v>1784</v>
      </c>
      <c r="F1179" t="s">
        <v>1837</v>
      </c>
    </row>
    <row r="1180" spans="1:7" x14ac:dyDescent="0.2">
      <c r="D1180" t="s">
        <v>12</v>
      </c>
      <c r="E1180" t="s">
        <v>1784</v>
      </c>
      <c r="F1180" t="s">
        <v>1837</v>
      </c>
    </row>
    <row r="1181" spans="1:7" x14ac:dyDescent="0.2">
      <c r="D1181" t="s">
        <v>81</v>
      </c>
      <c r="E1181" t="s">
        <v>1784</v>
      </c>
      <c r="F1181" t="s">
        <v>1837</v>
      </c>
    </row>
    <row r="1182" spans="1:7" x14ac:dyDescent="0.2">
      <c r="D1182" t="s">
        <v>86</v>
      </c>
      <c r="E1182" t="s">
        <v>1784</v>
      </c>
      <c r="F1182" t="s">
        <v>1837</v>
      </c>
    </row>
    <row r="1183" spans="1:7" x14ac:dyDescent="0.2">
      <c r="C1183" t="s">
        <v>497</v>
      </c>
      <c r="D1183" t="s">
        <v>77</v>
      </c>
      <c r="E1183" t="s">
        <v>1784</v>
      </c>
      <c r="F1183" t="s">
        <v>1837</v>
      </c>
    </row>
    <row r="1184" spans="1:7" x14ac:dyDescent="0.2">
      <c r="D1184" t="s">
        <v>12</v>
      </c>
      <c r="E1184" t="s">
        <v>1784</v>
      </c>
      <c r="F1184" t="s">
        <v>1837</v>
      </c>
    </row>
    <row r="1185" spans="1:7" x14ac:dyDescent="0.2">
      <c r="D1185" t="s">
        <v>81</v>
      </c>
      <c r="E1185" t="s">
        <v>1784</v>
      </c>
      <c r="F1185" t="s">
        <v>1837</v>
      </c>
    </row>
    <row r="1186" spans="1:7" x14ac:dyDescent="0.2">
      <c r="D1186" t="s">
        <v>86</v>
      </c>
      <c r="E1186" t="s">
        <v>1784</v>
      </c>
      <c r="F1186" t="s">
        <v>1837</v>
      </c>
    </row>
    <row r="1187" spans="1:7" ht="16" thickBot="1" x14ac:dyDescent="0.25">
      <c r="A1187" s="26"/>
      <c r="B1187" s="26"/>
      <c r="C1187" s="26" t="s">
        <v>498</v>
      </c>
      <c r="D1187" s="26" t="s">
        <v>80</v>
      </c>
      <c r="E1187" s="26" t="s">
        <v>1784</v>
      </c>
      <c r="F1187" s="26" t="s">
        <v>1837</v>
      </c>
      <c r="G1187" s="26"/>
    </row>
    <row r="1188" spans="1:7" x14ac:dyDescent="0.2">
      <c r="A1188" t="s">
        <v>510</v>
      </c>
      <c r="B1188" t="s">
        <v>511</v>
      </c>
      <c r="C1188" t="s">
        <v>496</v>
      </c>
      <c r="D1188" t="s">
        <v>72</v>
      </c>
      <c r="E1188" t="s">
        <v>1784</v>
      </c>
      <c r="F1188" t="s">
        <v>1837</v>
      </c>
    </row>
    <row r="1189" spans="1:7" x14ac:dyDescent="0.2">
      <c r="D1189" t="s">
        <v>80</v>
      </c>
      <c r="E1189" t="s">
        <v>1784</v>
      </c>
      <c r="F1189" t="s">
        <v>1837</v>
      </c>
    </row>
    <row r="1190" spans="1:7" x14ac:dyDescent="0.2">
      <c r="C1190" t="s">
        <v>514</v>
      </c>
      <c r="D1190" t="s">
        <v>72</v>
      </c>
      <c r="E1190" t="s">
        <v>1784</v>
      </c>
      <c r="F1190" t="s">
        <v>1837</v>
      </c>
    </row>
    <row r="1191" spans="1:7" x14ac:dyDescent="0.2">
      <c r="D1191" t="s">
        <v>80</v>
      </c>
      <c r="E1191" t="s">
        <v>1784</v>
      </c>
      <c r="F1191" t="s">
        <v>1837</v>
      </c>
    </row>
    <row r="1192" spans="1:7" x14ac:dyDescent="0.2">
      <c r="C1192" t="s">
        <v>515</v>
      </c>
      <c r="D1192" t="s">
        <v>72</v>
      </c>
      <c r="E1192" t="s">
        <v>1784</v>
      </c>
      <c r="F1192" t="s">
        <v>1837</v>
      </c>
    </row>
    <row r="1193" spans="1:7" ht="16" thickBot="1" x14ac:dyDescent="0.25">
      <c r="A1193" s="26"/>
      <c r="B1193" s="26"/>
      <c r="C1193" s="26"/>
      <c r="D1193" s="26" t="s">
        <v>80</v>
      </c>
      <c r="E1193" s="26" t="s">
        <v>1784</v>
      </c>
      <c r="F1193" s="26" t="s">
        <v>1837</v>
      </c>
      <c r="G1193" s="26"/>
    </row>
    <row r="1194" spans="1:7" x14ac:dyDescent="0.2">
      <c r="A1194" t="s">
        <v>516</v>
      </c>
      <c r="B1194" t="s">
        <v>517</v>
      </c>
      <c r="C1194" t="s">
        <v>519</v>
      </c>
      <c r="D1194" t="s">
        <v>72</v>
      </c>
      <c r="E1194" t="s">
        <v>1784</v>
      </c>
      <c r="F1194" t="s">
        <v>1837</v>
      </c>
    </row>
    <row r="1195" spans="1:7" x14ac:dyDescent="0.2">
      <c r="D1195" t="s">
        <v>82</v>
      </c>
      <c r="E1195" t="s">
        <v>1784</v>
      </c>
      <c r="F1195" t="s">
        <v>1837</v>
      </c>
    </row>
    <row r="1196" spans="1:7" x14ac:dyDescent="0.2">
      <c r="D1196" t="s">
        <v>86</v>
      </c>
      <c r="E1196" t="s">
        <v>1784</v>
      </c>
      <c r="F1196" t="s">
        <v>1837</v>
      </c>
    </row>
    <row r="1197" spans="1:7" x14ac:dyDescent="0.2">
      <c r="D1197" t="s">
        <v>87</v>
      </c>
      <c r="E1197" t="s">
        <v>1784</v>
      </c>
      <c r="F1197" t="s">
        <v>1837</v>
      </c>
    </row>
    <row r="1198" spans="1:7" x14ac:dyDescent="0.2">
      <c r="C1198" t="s">
        <v>520</v>
      </c>
      <c r="D1198" t="s">
        <v>72</v>
      </c>
      <c r="E1198" t="s">
        <v>1784</v>
      </c>
      <c r="F1198" t="s">
        <v>1837</v>
      </c>
    </row>
    <row r="1199" spans="1:7" x14ac:dyDescent="0.2">
      <c r="D1199" t="s">
        <v>82</v>
      </c>
      <c r="E1199" t="s">
        <v>1784</v>
      </c>
      <c r="F1199" t="s">
        <v>1837</v>
      </c>
    </row>
    <row r="1200" spans="1:7" x14ac:dyDescent="0.2">
      <c r="D1200" t="s">
        <v>86</v>
      </c>
      <c r="E1200" t="s">
        <v>1784</v>
      </c>
      <c r="F1200" t="s">
        <v>1837</v>
      </c>
    </row>
    <row r="1201" spans="1:7" x14ac:dyDescent="0.2">
      <c r="D1201" t="s">
        <v>87</v>
      </c>
      <c r="E1201" t="s">
        <v>1784</v>
      </c>
      <c r="F1201" t="s">
        <v>1837</v>
      </c>
    </row>
    <row r="1202" spans="1:7" x14ac:dyDescent="0.2">
      <c r="C1202" t="s">
        <v>521</v>
      </c>
      <c r="D1202" t="s">
        <v>72</v>
      </c>
      <c r="E1202" t="s">
        <v>1784</v>
      </c>
      <c r="F1202" t="s">
        <v>1837</v>
      </c>
    </row>
    <row r="1203" spans="1:7" x14ac:dyDescent="0.2">
      <c r="D1203" t="s">
        <v>82</v>
      </c>
      <c r="E1203" t="s">
        <v>1784</v>
      </c>
      <c r="F1203" t="s">
        <v>1837</v>
      </c>
    </row>
    <row r="1204" spans="1:7" x14ac:dyDescent="0.2">
      <c r="D1204" t="s">
        <v>86</v>
      </c>
      <c r="E1204" t="s">
        <v>1784</v>
      </c>
      <c r="F1204" t="s">
        <v>1837</v>
      </c>
    </row>
    <row r="1205" spans="1:7" ht="16" thickBot="1" x14ac:dyDescent="0.25">
      <c r="A1205" s="26"/>
      <c r="B1205" s="26"/>
      <c r="C1205" s="26"/>
      <c r="D1205" s="26" t="s">
        <v>87</v>
      </c>
      <c r="E1205" s="26" t="s">
        <v>1784</v>
      </c>
      <c r="F1205" s="26" t="s">
        <v>1837</v>
      </c>
      <c r="G1205" s="26"/>
    </row>
    <row r="1206" spans="1:7" ht="16" thickBot="1" x14ac:dyDescent="0.25">
      <c r="A1206" s="30" t="s">
        <v>526</v>
      </c>
      <c r="B1206" s="30" t="s">
        <v>527</v>
      </c>
      <c r="C1206" s="30" t="s">
        <v>528</v>
      </c>
      <c r="D1206" s="30" t="s">
        <v>77</v>
      </c>
      <c r="E1206" s="30" t="s">
        <v>1784</v>
      </c>
      <c r="F1206" s="30" t="s">
        <v>1837</v>
      </c>
      <c r="G1206" s="30"/>
    </row>
    <row r="1207" spans="1:7" x14ac:dyDescent="0.2">
      <c r="A1207" s="39" t="s">
        <v>533</v>
      </c>
      <c r="B1207" s="39" t="s">
        <v>534</v>
      </c>
      <c r="C1207" s="39" t="s">
        <v>536</v>
      </c>
      <c r="D1207" s="39" t="s">
        <v>82</v>
      </c>
      <c r="E1207" s="39" t="s">
        <v>1784</v>
      </c>
      <c r="F1207" s="39" t="s">
        <v>1837</v>
      </c>
      <c r="G1207" s="39"/>
    </row>
    <row r="1208" spans="1:7" x14ac:dyDescent="0.2">
      <c r="C1208" t="s">
        <v>535</v>
      </c>
      <c r="D1208" t="s">
        <v>12</v>
      </c>
      <c r="E1208" t="s">
        <v>1784</v>
      </c>
      <c r="F1208" t="s">
        <v>1837</v>
      </c>
    </row>
    <row r="1209" spans="1:7" ht="16" thickBot="1" x14ac:dyDescent="0.25">
      <c r="A1209" s="26"/>
      <c r="B1209" s="26"/>
      <c r="C1209" s="26"/>
      <c r="D1209" s="26" t="s">
        <v>86</v>
      </c>
      <c r="E1209" s="26" t="s">
        <v>1784</v>
      </c>
      <c r="F1209" s="26" t="s">
        <v>1837</v>
      </c>
      <c r="G1209" s="26"/>
    </row>
    <row r="1210" spans="1:7" x14ac:dyDescent="0.2">
      <c r="A1210" t="s">
        <v>543</v>
      </c>
      <c r="B1210" t="s">
        <v>544</v>
      </c>
      <c r="C1210" t="s">
        <v>546</v>
      </c>
      <c r="D1210" t="s">
        <v>73</v>
      </c>
      <c r="E1210" t="s">
        <v>1847</v>
      </c>
      <c r="F1210" t="s">
        <v>1795</v>
      </c>
    </row>
    <row r="1211" spans="1:7" x14ac:dyDescent="0.2">
      <c r="D1211" t="s">
        <v>78</v>
      </c>
      <c r="E1211" t="s">
        <v>1847</v>
      </c>
      <c r="F1211" t="s">
        <v>1795</v>
      </c>
    </row>
    <row r="1212" spans="1:7" x14ac:dyDescent="0.2">
      <c r="D1212" t="s">
        <v>83</v>
      </c>
      <c r="E1212" t="s">
        <v>1847</v>
      </c>
      <c r="F1212" t="s">
        <v>1795</v>
      </c>
    </row>
    <row r="1213" spans="1:7" x14ac:dyDescent="0.2">
      <c r="C1213" t="s">
        <v>547</v>
      </c>
      <c r="D1213" t="s">
        <v>77</v>
      </c>
      <c r="E1213" t="s">
        <v>1847</v>
      </c>
      <c r="F1213" t="s">
        <v>1795</v>
      </c>
    </row>
    <row r="1214" spans="1:7" x14ac:dyDescent="0.2">
      <c r="D1214" t="s">
        <v>83</v>
      </c>
      <c r="E1214" t="s">
        <v>1847</v>
      </c>
      <c r="F1214" t="s">
        <v>1795</v>
      </c>
    </row>
    <row r="1215" spans="1:7" ht="16" thickBot="1" x14ac:dyDescent="0.25">
      <c r="A1215" s="26"/>
      <c r="B1215" s="26"/>
      <c r="C1215" s="26"/>
      <c r="D1215" s="26" t="s">
        <v>86</v>
      </c>
      <c r="E1215" s="26" t="s">
        <v>1847</v>
      </c>
      <c r="F1215" s="26" t="s">
        <v>1795</v>
      </c>
      <c r="G1215" s="26"/>
    </row>
    <row r="1216" spans="1:7" x14ac:dyDescent="0.2">
      <c r="A1216" s="39" t="s">
        <v>548</v>
      </c>
      <c r="B1216" s="39" t="s">
        <v>549</v>
      </c>
      <c r="C1216" s="39" t="s">
        <v>550</v>
      </c>
      <c r="D1216" s="39" t="s">
        <v>72</v>
      </c>
      <c r="E1216" t="s">
        <v>1784</v>
      </c>
      <c r="F1216" t="s">
        <v>1837</v>
      </c>
      <c r="G1216" s="39"/>
    </row>
    <row r="1217" spans="1:7" x14ac:dyDescent="0.2">
      <c r="D1217" t="s">
        <v>77</v>
      </c>
      <c r="E1217" t="s">
        <v>1784</v>
      </c>
      <c r="F1217" t="s">
        <v>1837</v>
      </c>
    </row>
    <row r="1218" spans="1:7" x14ac:dyDescent="0.2">
      <c r="D1218" t="s">
        <v>12</v>
      </c>
      <c r="E1218" t="s">
        <v>1784</v>
      </c>
      <c r="F1218" t="s">
        <v>1837</v>
      </c>
    </row>
    <row r="1219" spans="1:7" x14ac:dyDescent="0.2">
      <c r="D1219" t="s">
        <v>80</v>
      </c>
      <c r="E1219" t="s">
        <v>1784</v>
      </c>
      <c r="F1219" t="s">
        <v>1837</v>
      </c>
    </row>
    <row r="1220" spans="1:7" x14ac:dyDescent="0.2">
      <c r="C1220" t="s">
        <v>551</v>
      </c>
      <c r="D1220" t="s">
        <v>72</v>
      </c>
      <c r="E1220" t="s">
        <v>1784</v>
      </c>
      <c r="F1220" t="s">
        <v>1837</v>
      </c>
    </row>
    <row r="1221" spans="1:7" x14ac:dyDescent="0.2">
      <c r="D1221" t="s">
        <v>77</v>
      </c>
      <c r="E1221" t="s">
        <v>1784</v>
      </c>
      <c r="F1221" t="s">
        <v>1837</v>
      </c>
    </row>
    <row r="1222" spans="1:7" x14ac:dyDescent="0.2">
      <c r="D1222" t="s">
        <v>12</v>
      </c>
      <c r="E1222" t="s">
        <v>1784</v>
      </c>
      <c r="F1222" t="s">
        <v>1837</v>
      </c>
    </row>
    <row r="1223" spans="1:7" ht="16" thickBot="1" x14ac:dyDescent="0.25">
      <c r="A1223" s="26"/>
      <c r="B1223" s="26"/>
      <c r="C1223" s="26"/>
      <c r="D1223" s="26" t="s">
        <v>80</v>
      </c>
      <c r="E1223" s="26" t="s">
        <v>1784</v>
      </c>
      <c r="F1223" s="26" t="s">
        <v>1837</v>
      </c>
      <c r="G1223" s="26"/>
    </row>
    <row r="1224" spans="1:7" x14ac:dyDescent="0.2">
      <c r="A1224" t="s">
        <v>560</v>
      </c>
      <c r="B1224" t="s">
        <v>561</v>
      </c>
      <c r="C1224" t="s">
        <v>562</v>
      </c>
      <c r="D1224" t="s">
        <v>74</v>
      </c>
      <c r="E1224" t="s">
        <v>1784</v>
      </c>
      <c r="F1224" t="s">
        <v>1837</v>
      </c>
    </row>
    <row r="1225" spans="1:7" x14ac:dyDescent="0.2">
      <c r="D1225" t="s">
        <v>76</v>
      </c>
      <c r="E1225" t="s">
        <v>1784</v>
      </c>
      <c r="F1225" t="s">
        <v>1837</v>
      </c>
    </row>
    <row r="1226" spans="1:7" x14ac:dyDescent="0.2">
      <c r="D1226" t="s">
        <v>81</v>
      </c>
      <c r="E1226" t="s">
        <v>1784</v>
      </c>
      <c r="F1226" t="s">
        <v>1837</v>
      </c>
    </row>
    <row r="1227" spans="1:7" x14ac:dyDescent="0.2">
      <c r="D1227" t="s">
        <v>82</v>
      </c>
      <c r="E1227" t="s">
        <v>1784</v>
      </c>
      <c r="F1227" t="s">
        <v>1837</v>
      </c>
    </row>
    <row r="1228" spans="1:7" ht="16" thickBot="1" x14ac:dyDescent="0.25">
      <c r="A1228" s="26"/>
      <c r="B1228" s="26"/>
      <c r="C1228" s="26"/>
      <c r="D1228" s="26" t="s">
        <v>87</v>
      </c>
      <c r="E1228" s="26" t="s">
        <v>1784</v>
      </c>
      <c r="F1228" s="26" t="s">
        <v>1837</v>
      </c>
      <c r="G1228" s="26"/>
    </row>
    <row r="1229" spans="1:7" x14ac:dyDescent="0.2">
      <c r="A1229" t="s">
        <v>565</v>
      </c>
      <c r="B1229" t="s">
        <v>566</v>
      </c>
      <c r="C1229" t="s">
        <v>568</v>
      </c>
      <c r="D1229" t="s">
        <v>77</v>
      </c>
      <c r="E1229" t="s">
        <v>1954</v>
      </c>
      <c r="F1229" t="s">
        <v>1837</v>
      </c>
    </row>
    <row r="1230" spans="1:7" x14ac:dyDescent="0.2">
      <c r="D1230" t="s">
        <v>80</v>
      </c>
      <c r="E1230" t="s">
        <v>1955</v>
      </c>
      <c r="F1230" t="s">
        <v>1802</v>
      </c>
      <c r="G1230" t="s">
        <v>1956</v>
      </c>
    </row>
    <row r="1231" spans="1:7" x14ac:dyDescent="0.2">
      <c r="D1231" t="s">
        <v>12</v>
      </c>
      <c r="E1231" t="s">
        <v>1957</v>
      </c>
      <c r="F1231" t="s">
        <v>1792</v>
      </c>
    </row>
    <row r="1232" spans="1:7" ht="16" thickBot="1" x14ac:dyDescent="0.25">
      <c r="A1232" s="26"/>
      <c r="B1232" s="26"/>
      <c r="C1232" s="26"/>
      <c r="D1232" s="26" t="s">
        <v>75</v>
      </c>
      <c r="E1232" s="26" t="s">
        <v>168</v>
      </c>
      <c r="F1232" s="26" t="s">
        <v>1802</v>
      </c>
      <c r="G1232" s="26"/>
    </row>
    <row r="1233" spans="1:7" x14ac:dyDescent="0.2">
      <c r="A1233" t="s">
        <v>569</v>
      </c>
      <c r="B1233" t="s">
        <v>570</v>
      </c>
      <c r="C1233" t="s">
        <v>571</v>
      </c>
      <c r="D1233" t="s">
        <v>76</v>
      </c>
      <c r="E1233" t="s">
        <v>1958</v>
      </c>
      <c r="F1233" t="s">
        <v>1802</v>
      </c>
      <c r="G1233" t="s">
        <v>1959</v>
      </c>
    </row>
    <row r="1234" spans="1:7" x14ac:dyDescent="0.2">
      <c r="D1234" t="s">
        <v>12</v>
      </c>
      <c r="E1234" t="s">
        <v>1960</v>
      </c>
      <c r="F1234" t="s">
        <v>1792</v>
      </c>
    </row>
    <row r="1235" spans="1:7" x14ac:dyDescent="0.2">
      <c r="D1235" t="s">
        <v>81</v>
      </c>
      <c r="E1235" t="s">
        <v>1961</v>
      </c>
      <c r="F1235" t="s">
        <v>1792</v>
      </c>
    </row>
    <row r="1236" spans="1:7" x14ac:dyDescent="0.2">
      <c r="C1236" t="s">
        <v>572</v>
      </c>
      <c r="D1236" t="s">
        <v>76</v>
      </c>
      <c r="E1236" t="s">
        <v>1958</v>
      </c>
      <c r="F1236" t="s">
        <v>1802</v>
      </c>
      <c r="G1236" t="s">
        <v>1959</v>
      </c>
    </row>
    <row r="1237" spans="1:7" x14ac:dyDescent="0.2">
      <c r="D1237" t="s">
        <v>12</v>
      </c>
      <c r="E1237" t="s">
        <v>1960</v>
      </c>
      <c r="F1237" t="s">
        <v>1792</v>
      </c>
    </row>
    <row r="1238" spans="1:7" x14ac:dyDescent="0.2">
      <c r="D1238" t="s">
        <v>81</v>
      </c>
      <c r="E1238" t="s">
        <v>1961</v>
      </c>
      <c r="F1238" t="s">
        <v>1792</v>
      </c>
    </row>
    <row r="1239" spans="1:7" x14ac:dyDescent="0.2">
      <c r="C1239" t="s">
        <v>573</v>
      </c>
      <c r="D1239" t="s">
        <v>76</v>
      </c>
      <c r="E1239" t="s">
        <v>1958</v>
      </c>
      <c r="F1239" t="s">
        <v>1802</v>
      </c>
      <c r="G1239" t="s">
        <v>1959</v>
      </c>
    </row>
    <row r="1240" spans="1:7" x14ac:dyDescent="0.2">
      <c r="D1240" t="s">
        <v>12</v>
      </c>
      <c r="E1240" t="s">
        <v>1960</v>
      </c>
      <c r="F1240" t="s">
        <v>1792</v>
      </c>
    </row>
    <row r="1241" spans="1:7" ht="16" thickBot="1" x14ac:dyDescent="0.25">
      <c r="A1241" s="26"/>
      <c r="B1241" s="26"/>
      <c r="C1241" s="26"/>
      <c r="D1241" s="26" t="s">
        <v>81</v>
      </c>
      <c r="E1241" s="26" t="s">
        <v>1961</v>
      </c>
      <c r="F1241" s="26" t="s">
        <v>1792</v>
      </c>
      <c r="G1241" s="26"/>
    </row>
    <row r="1242" spans="1:7" ht="16" thickBot="1" x14ac:dyDescent="0.25">
      <c r="A1242" s="30" t="s">
        <v>574</v>
      </c>
      <c r="B1242" s="30" t="s">
        <v>575</v>
      </c>
      <c r="C1242" s="30" t="s">
        <v>571</v>
      </c>
      <c r="D1242" s="30" t="s">
        <v>72</v>
      </c>
      <c r="E1242" s="30" t="s">
        <v>1784</v>
      </c>
      <c r="F1242" s="30" t="s">
        <v>1837</v>
      </c>
      <c r="G1242" s="30"/>
    </row>
    <row r="1243" spans="1:7" x14ac:dyDescent="0.2">
      <c r="A1243" t="s">
        <v>602</v>
      </c>
      <c r="B1243" t="s">
        <v>603</v>
      </c>
      <c r="C1243" t="s">
        <v>606</v>
      </c>
      <c r="D1243" t="s">
        <v>73</v>
      </c>
      <c r="E1243" t="s">
        <v>1784</v>
      </c>
      <c r="F1243" t="s">
        <v>1837</v>
      </c>
    </row>
    <row r="1244" spans="1:7" ht="16" thickBot="1" x14ac:dyDescent="0.25">
      <c r="A1244" s="26"/>
      <c r="B1244" s="26"/>
      <c r="C1244" s="26" t="s">
        <v>607</v>
      </c>
      <c r="D1244" s="26" t="s">
        <v>73</v>
      </c>
      <c r="E1244" s="26" t="s">
        <v>1784</v>
      </c>
      <c r="F1244" s="26" t="s">
        <v>1837</v>
      </c>
      <c r="G1244" s="26"/>
    </row>
    <row r="1245" spans="1:7" x14ac:dyDescent="0.2">
      <c r="A1245" t="s">
        <v>611</v>
      </c>
      <c r="B1245" t="s">
        <v>612</v>
      </c>
      <c r="C1245" t="s">
        <v>614</v>
      </c>
      <c r="D1245" t="s">
        <v>72</v>
      </c>
      <c r="E1245" t="s">
        <v>1784</v>
      </c>
      <c r="F1245" t="s">
        <v>1837</v>
      </c>
    </row>
    <row r="1246" spans="1:7" x14ac:dyDescent="0.2">
      <c r="D1246" t="s">
        <v>87</v>
      </c>
      <c r="E1246" t="s">
        <v>1784</v>
      </c>
      <c r="F1246" t="s">
        <v>1837</v>
      </c>
    </row>
    <row r="1247" spans="1:7" x14ac:dyDescent="0.2">
      <c r="C1247" t="s">
        <v>615</v>
      </c>
      <c r="D1247" t="s">
        <v>72</v>
      </c>
      <c r="E1247" t="s">
        <v>1784</v>
      </c>
      <c r="F1247" t="s">
        <v>1837</v>
      </c>
    </row>
    <row r="1248" spans="1:7" x14ac:dyDescent="0.2">
      <c r="D1248" t="s">
        <v>87</v>
      </c>
      <c r="E1248" t="s">
        <v>1784</v>
      </c>
      <c r="F1248" t="s">
        <v>1837</v>
      </c>
    </row>
    <row r="1249" spans="1:7" x14ac:dyDescent="0.2">
      <c r="C1249" t="s">
        <v>616</v>
      </c>
      <c r="D1249" t="s">
        <v>72</v>
      </c>
      <c r="E1249" t="s">
        <v>1784</v>
      </c>
      <c r="F1249" t="s">
        <v>1837</v>
      </c>
    </row>
    <row r="1250" spans="1:7" ht="16" thickBot="1" x14ac:dyDescent="0.25">
      <c r="A1250" s="26"/>
      <c r="B1250" s="26"/>
      <c r="C1250" s="26"/>
      <c r="D1250" s="26" t="s">
        <v>87</v>
      </c>
      <c r="E1250" s="26" t="s">
        <v>1784</v>
      </c>
      <c r="F1250" s="26" t="s">
        <v>1837</v>
      </c>
      <c r="G1250" s="26"/>
    </row>
    <row r="1251" spans="1:7" x14ac:dyDescent="0.2">
      <c r="A1251" t="s">
        <v>637</v>
      </c>
      <c r="B1251" t="s">
        <v>609</v>
      </c>
      <c r="C1251" t="s">
        <v>639</v>
      </c>
      <c r="D1251" t="s">
        <v>72</v>
      </c>
      <c r="E1251" t="s">
        <v>1784</v>
      </c>
      <c r="F1251" t="s">
        <v>1837</v>
      </c>
    </row>
    <row r="1252" spans="1:7" x14ac:dyDescent="0.2">
      <c r="D1252" t="s">
        <v>74</v>
      </c>
      <c r="E1252" t="s">
        <v>1962</v>
      </c>
      <c r="F1252" t="s">
        <v>1802</v>
      </c>
    </row>
    <row r="1253" spans="1:7" x14ac:dyDescent="0.2">
      <c r="D1253" t="s">
        <v>76</v>
      </c>
      <c r="E1253" t="s">
        <v>1784</v>
      </c>
      <c r="F1253" t="s">
        <v>1837</v>
      </c>
    </row>
    <row r="1254" spans="1:7" x14ac:dyDescent="0.2">
      <c r="C1254" t="s">
        <v>640</v>
      </c>
      <c r="D1254" t="s">
        <v>72</v>
      </c>
      <c r="E1254" t="s">
        <v>1784</v>
      </c>
      <c r="F1254" t="s">
        <v>1837</v>
      </c>
    </row>
    <row r="1255" spans="1:7" ht="16" thickBot="1" x14ac:dyDescent="0.25">
      <c r="A1255" s="26"/>
      <c r="B1255" s="26"/>
      <c r="C1255" s="26"/>
      <c r="D1255" s="26" t="s">
        <v>76</v>
      </c>
      <c r="E1255" s="26" t="s">
        <v>1784</v>
      </c>
      <c r="F1255" s="26" t="s">
        <v>1837</v>
      </c>
      <c r="G1255" s="26"/>
    </row>
    <row r="1256" spans="1:7" x14ac:dyDescent="0.2">
      <c r="A1256" t="s">
        <v>641</v>
      </c>
      <c r="B1256" t="s">
        <v>642</v>
      </c>
      <c r="C1256" t="s">
        <v>640</v>
      </c>
      <c r="D1256" t="s">
        <v>73</v>
      </c>
      <c r="E1256" t="s">
        <v>1784</v>
      </c>
      <c r="F1256" t="s">
        <v>1837</v>
      </c>
    </row>
    <row r="1257" spans="1:7" x14ac:dyDescent="0.2">
      <c r="C1257" t="s">
        <v>644</v>
      </c>
      <c r="D1257" t="s">
        <v>12</v>
      </c>
      <c r="E1257" t="s">
        <v>1784</v>
      </c>
      <c r="F1257" t="s">
        <v>1837</v>
      </c>
    </row>
    <row r="1258" spans="1:7" ht="16" thickBot="1" x14ac:dyDescent="0.25">
      <c r="A1258" s="26"/>
      <c r="B1258" s="26"/>
      <c r="C1258" s="26"/>
      <c r="D1258" s="26" t="s">
        <v>82</v>
      </c>
      <c r="E1258" s="26" t="s">
        <v>1784</v>
      </c>
      <c r="F1258" s="26" t="s">
        <v>1837</v>
      </c>
      <c r="G1258" s="26"/>
    </row>
    <row r="1259" spans="1:7" x14ac:dyDescent="0.2">
      <c r="A1259" t="s">
        <v>648</v>
      </c>
      <c r="B1259" t="s">
        <v>649</v>
      </c>
      <c r="C1259" t="s">
        <v>650</v>
      </c>
      <c r="D1259" t="s">
        <v>73</v>
      </c>
      <c r="E1259" t="s">
        <v>1962</v>
      </c>
      <c r="F1259" t="s">
        <v>1802</v>
      </c>
    </row>
    <row r="1260" spans="1:7" x14ac:dyDescent="0.2">
      <c r="D1260" t="s">
        <v>77</v>
      </c>
      <c r="E1260" t="s">
        <v>1784</v>
      </c>
      <c r="F1260" t="s">
        <v>1837</v>
      </c>
    </row>
    <row r="1261" spans="1:7" x14ac:dyDescent="0.2">
      <c r="D1261" t="s">
        <v>79</v>
      </c>
      <c r="E1261" t="s">
        <v>1784</v>
      </c>
      <c r="F1261" t="s">
        <v>1837</v>
      </c>
    </row>
    <row r="1262" spans="1:7" x14ac:dyDescent="0.2">
      <c r="D1262" t="s">
        <v>82</v>
      </c>
      <c r="E1262" t="s">
        <v>1784</v>
      </c>
      <c r="F1262" t="s">
        <v>1837</v>
      </c>
    </row>
    <row r="1263" spans="1:7" x14ac:dyDescent="0.2">
      <c r="D1263" t="s">
        <v>86</v>
      </c>
      <c r="E1263" t="s">
        <v>1784</v>
      </c>
      <c r="F1263" t="s">
        <v>1837</v>
      </c>
    </row>
    <row r="1264" spans="1:7" x14ac:dyDescent="0.2">
      <c r="D1264" t="s">
        <v>87</v>
      </c>
      <c r="E1264" t="s">
        <v>1784</v>
      </c>
      <c r="F1264" t="s">
        <v>1837</v>
      </c>
    </row>
    <row r="1265" spans="1:7" x14ac:dyDescent="0.2">
      <c r="C1265" t="s">
        <v>652</v>
      </c>
      <c r="D1265" t="s">
        <v>77</v>
      </c>
      <c r="E1265" t="s">
        <v>1784</v>
      </c>
      <c r="F1265" t="s">
        <v>1837</v>
      </c>
    </row>
    <row r="1266" spans="1:7" x14ac:dyDescent="0.2">
      <c r="D1266" t="s">
        <v>79</v>
      </c>
      <c r="E1266" t="s">
        <v>1784</v>
      </c>
      <c r="F1266" t="s">
        <v>1837</v>
      </c>
    </row>
    <row r="1267" spans="1:7" x14ac:dyDescent="0.2">
      <c r="D1267" t="s">
        <v>82</v>
      </c>
      <c r="E1267" t="s">
        <v>1784</v>
      </c>
      <c r="F1267" t="s">
        <v>1837</v>
      </c>
    </row>
    <row r="1268" spans="1:7" ht="16" thickBot="1" x14ac:dyDescent="0.25">
      <c r="A1268" s="26"/>
      <c r="B1268" s="26"/>
      <c r="C1268" s="26"/>
      <c r="D1268" s="26" t="s">
        <v>87</v>
      </c>
      <c r="E1268" s="26" t="s">
        <v>1784</v>
      </c>
      <c r="F1268" s="26" t="s">
        <v>1837</v>
      </c>
      <c r="G1268" s="26"/>
    </row>
    <row r="1269" spans="1:7" x14ac:dyDescent="0.2">
      <c r="A1269" t="s">
        <v>664</v>
      </c>
      <c r="B1269" t="s">
        <v>665</v>
      </c>
      <c r="C1269" t="s">
        <v>662</v>
      </c>
      <c r="D1269" t="s">
        <v>12</v>
      </c>
      <c r="E1269" t="s">
        <v>1784</v>
      </c>
      <c r="F1269" t="s">
        <v>1837</v>
      </c>
    </row>
    <row r="1270" spans="1:7" x14ac:dyDescent="0.2">
      <c r="C1270" t="s">
        <v>663</v>
      </c>
      <c r="D1270" t="s">
        <v>12</v>
      </c>
      <c r="E1270" t="s">
        <v>1784</v>
      </c>
      <c r="F1270" t="s">
        <v>1837</v>
      </c>
    </row>
    <row r="1271" spans="1:7" ht="16" thickBot="1" x14ac:dyDescent="0.25">
      <c r="A1271" s="26"/>
      <c r="B1271" s="26"/>
      <c r="C1271" s="26" t="s">
        <v>668</v>
      </c>
      <c r="D1271" s="26" t="s">
        <v>12</v>
      </c>
      <c r="E1271" s="26" t="s">
        <v>1784</v>
      </c>
      <c r="F1271" s="26" t="s">
        <v>1837</v>
      </c>
      <c r="G1271" s="26"/>
    </row>
    <row r="1272" spans="1:7" x14ac:dyDescent="0.2">
      <c r="A1272" t="s">
        <v>669</v>
      </c>
      <c r="B1272" t="s">
        <v>670</v>
      </c>
      <c r="C1272" t="s">
        <v>671</v>
      </c>
      <c r="D1272" t="s">
        <v>12</v>
      </c>
      <c r="E1272" t="s">
        <v>1784</v>
      </c>
      <c r="F1272" t="s">
        <v>1837</v>
      </c>
    </row>
    <row r="1273" spans="1:7" x14ac:dyDescent="0.2">
      <c r="C1273" t="s">
        <v>672</v>
      </c>
      <c r="D1273" t="s">
        <v>12</v>
      </c>
      <c r="E1273" t="s">
        <v>1784</v>
      </c>
      <c r="F1273" t="s">
        <v>1837</v>
      </c>
    </row>
    <row r="1274" spans="1:7" ht="16" thickBot="1" x14ac:dyDescent="0.25">
      <c r="A1274" s="26"/>
      <c r="B1274" s="26"/>
      <c r="C1274" s="26" t="s">
        <v>673</v>
      </c>
      <c r="D1274" s="26" t="s">
        <v>12</v>
      </c>
      <c r="E1274" s="26" t="s">
        <v>1784</v>
      </c>
      <c r="F1274" s="26" t="s">
        <v>1837</v>
      </c>
      <c r="G1274" s="26"/>
    </row>
    <row r="1275" spans="1:7" x14ac:dyDescent="0.2">
      <c r="A1275" t="s">
        <v>674</v>
      </c>
      <c r="B1275" t="s">
        <v>675</v>
      </c>
      <c r="C1275" t="s">
        <v>662</v>
      </c>
      <c r="D1275" t="s">
        <v>12</v>
      </c>
      <c r="E1275" t="s">
        <v>1784</v>
      </c>
      <c r="F1275" t="s">
        <v>1837</v>
      </c>
    </row>
    <row r="1276" spans="1:7" ht="16" thickBot="1" x14ac:dyDescent="0.25">
      <c r="A1276" s="26"/>
      <c r="B1276" s="26"/>
      <c r="C1276" s="26" t="s">
        <v>663</v>
      </c>
      <c r="D1276" s="26" t="s">
        <v>12</v>
      </c>
      <c r="E1276" s="26" t="s">
        <v>1784</v>
      </c>
      <c r="F1276" s="26" t="s">
        <v>1837</v>
      </c>
      <c r="G1276" s="26"/>
    </row>
    <row r="1277" spans="1:7" x14ac:dyDescent="0.2">
      <c r="A1277" t="s">
        <v>698</v>
      </c>
      <c r="B1277" t="s">
        <v>699</v>
      </c>
      <c r="C1277" t="s">
        <v>700</v>
      </c>
      <c r="D1277" t="s">
        <v>73</v>
      </c>
      <c r="E1277" t="s">
        <v>1963</v>
      </c>
      <c r="F1277" t="s">
        <v>1837</v>
      </c>
    </row>
    <row r="1278" spans="1:7" x14ac:dyDescent="0.2">
      <c r="D1278" t="s">
        <v>12</v>
      </c>
      <c r="E1278" t="s">
        <v>1963</v>
      </c>
      <c r="F1278" t="s">
        <v>1837</v>
      </c>
    </row>
    <row r="1279" spans="1:7" x14ac:dyDescent="0.2">
      <c r="D1279" t="s">
        <v>81</v>
      </c>
      <c r="E1279" t="s">
        <v>1963</v>
      </c>
      <c r="F1279" t="s">
        <v>1837</v>
      </c>
    </row>
    <row r="1280" spans="1:7" ht="16" thickBot="1" x14ac:dyDescent="0.25">
      <c r="A1280" s="26"/>
      <c r="B1280" s="26"/>
      <c r="C1280" s="26"/>
      <c r="D1280" s="26" t="s">
        <v>85</v>
      </c>
      <c r="E1280" s="26" t="s">
        <v>1963</v>
      </c>
      <c r="F1280" s="26" t="s">
        <v>1837</v>
      </c>
      <c r="G1280" s="26"/>
    </row>
    <row r="1281" spans="1:7" x14ac:dyDescent="0.2">
      <c r="A1281" t="s">
        <v>702</v>
      </c>
      <c r="B1281" t="s">
        <v>703</v>
      </c>
      <c r="C1281" t="s">
        <v>704</v>
      </c>
      <c r="D1281" t="s">
        <v>78</v>
      </c>
      <c r="E1281" t="s">
        <v>1847</v>
      </c>
      <c r="F1281" t="s">
        <v>1795</v>
      </c>
    </row>
    <row r="1282" spans="1:7" x14ac:dyDescent="0.2">
      <c r="D1282" t="s">
        <v>12</v>
      </c>
      <c r="E1282" t="s">
        <v>1964</v>
      </c>
      <c r="F1282" t="s">
        <v>1802</v>
      </c>
    </row>
    <row r="1283" spans="1:7" x14ac:dyDescent="0.2">
      <c r="D1283" t="s">
        <v>82</v>
      </c>
      <c r="E1283" t="s">
        <v>1965</v>
      </c>
      <c r="F1283" t="s">
        <v>1792</v>
      </c>
    </row>
    <row r="1284" spans="1:7" x14ac:dyDescent="0.2">
      <c r="D1284" t="s">
        <v>88</v>
      </c>
      <c r="E1284" t="s">
        <v>1966</v>
      </c>
      <c r="F1284" t="s">
        <v>1802</v>
      </c>
    </row>
    <row r="1285" spans="1:7" x14ac:dyDescent="0.2">
      <c r="C1285" t="s">
        <v>705</v>
      </c>
      <c r="D1285" t="s">
        <v>78</v>
      </c>
      <c r="E1285" t="s">
        <v>1847</v>
      </c>
      <c r="F1285" t="s">
        <v>1795</v>
      </c>
    </row>
    <row r="1286" spans="1:7" x14ac:dyDescent="0.2">
      <c r="D1286" t="s">
        <v>83</v>
      </c>
      <c r="E1286" t="s">
        <v>1847</v>
      </c>
      <c r="F1286" t="s">
        <v>1795</v>
      </c>
    </row>
    <row r="1287" spans="1:7" ht="16" thickBot="1" x14ac:dyDescent="0.25">
      <c r="A1287" s="26"/>
      <c r="B1287" s="26"/>
      <c r="C1287" s="26"/>
      <c r="D1287" s="26" t="s">
        <v>88</v>
      </c>
      <c r="E1287" s="26" t="s">
        <v>1966</v>
      </c>
      <c r="F1287" s="26" t="s">
        <v>1802</v>
      </c>
      <c r="G1287" s="26"/>
    </row>
    <row r="1288" spans="1:7" x14ac:dyDescent="0.2">
      <c r="A1288" t="s">
        <v>709</v>
      </c>
      <c r="B1288" t="s">
        <v>710</v>
      </c>
      <c r="C1288" t="s">
        <v>217</v>
      </c>
      <c r="D1288" t="s">
        <v>72</v>
      </c>
      <c r="E1288" t="s">
        <v>1784</v>
      </c>
      <c r="F1288" t="s">
        <v>1837</v>
      </c>
    </row>
    <row r="1289" spans="1:7" x14ac:dyDescent="0.2">
      <c r="D1289" t="s">
        <v>73</v>
      </c>
      <c r="E1289" t="s">
        <v>1784</v>
      </c>
      <c r="F1289" t="s">
        <v>1837</v>
      </c>
    </row>
    <row r="1290" spans="1:7" x14ac:dyDescent="0.2">
      <c r="D1290" t="s">
        <v>74</v>
      </c>
      <c r="E1290" t="s">
        <v>1784</v>
      </c>
      <c r="F1290" t="s">
        <v>1837</v>
      </c>
    </row>
    <row r="1291" spans="1:7" x14ac:dyDescent="0.2">
      <c r="D1291" t="s">
        <v>80</v>
      </c>
      <c r="E1291" t="s">
        <v>1784</v>
      </c>
      <c r="F1291" t="s">
        <v>1837</v>
      </c>
    </row>
    <row r="1292" spans="1:7" x14ac:dyDescent="0.2">
      <c r="C1292" t="s">
        <v>218</v>
      </c>
      <c r="D1292" t="s">
        <v>72</v>
      </c>
      <c r="E1292" t="s">
        <v>1784</v>
      </c>
      <c r="F1292" t="s">
        <v>1837</v>
      </c>
    </row>
    <row r="1293" spans="1:7" x14ac:dyDescent="0.2">
      <c r="D1293" t="s">
        <v>73</v>
      </c>
      <c r="E1293" t="s">
        <v>1784</v>
      </c>
      <c r="F1293" t="s">
        <v>1837</v>
      </c>
    </row>
    <row r="1294" spans="1:7" x14ac:dyDescent="0.2">
      <c r="D1294" t="s">
        <v>74</v>
      </c>
      <c r="E1294" t="s">
        <v>1784</v>
      </c>
      <c r="F1294" t="s">
        <v>1837</v>
      </c>
    </row>
    <row r="1295" spans="1:7" x14ac:dyDescent="0.2">
      <c r="D1295" t="s">
        <v>80</v>
      </c>
      <c r="E1295" t="s">
        <v>1784</v>
      </c>
      <c r="F1295" t="s">
        <v>1837</v>
      </c>
    </row>
    <row r="1296" spans="1:7" x14ac:dyDescent="0.2">
      <c r="C1296" t="s">
        <v>219</v>
      </c>
      <c r="D1296" t="s">
        <v>72</v>
      </c>
      <c r="E1296" t="s">
        <v>1784</v>
      </c>
      <c r="F1296" t="s">
        <v>1837</v>
      </c>
    </row>
    <row r="1297" spans="1:7" x14ac:dyDescent="0.2">
      <c r="D1297" t="s">
        <v>74</v>
      </c>
      <c r="E1297" t="s">
        <v>1784</v>
      </c>
      <c r="F1297" t="s">
        <v>1837</v>
      </c>
    </row>
    <row r="1298" spans="1:7" ht="16" thickBot="1" x14ac:dyDescent="0.25">
      <c r="A1298" s="26"/>
      <c r="B1298" s="26"/>
      <c r="C1298" s="26"/>
      <c r="D1298" s="26" t="s">
        <v>80</v>
      </c>
      <c r="E1298" s="26" t="s">
        <v>1784</v>
      </c>
      <c r="F1298" s="26" t="s">
        <v>1837</v>
      </c>
      <c r="G1298" s="26"/>
    </row>
    <row r="1299" spans="1:7" x14ac:dyDescent="0.2">
      <c r="A1299" t="s">
        <v>1702</v>
      </c>
      <c r="B1299" t="s">
        <v>1703</v>
      </c>
      <c r="C1299" t="s">
        <v>1705</v>
      </c>
      <c r="D1299" t="s">
        <v>73</v>
      </c>
      <c r="E1299" t="s">
        <v>1967</v>
      </c>
      <c r="F1299" t="s">
        <v>1968</v>
      </c>
    </row>
    <row r="1300" spans="1:7" x14ac:dyDescent="0.2">
      <c r="D1300" t="s">
        <v>74</v>
      </c>
      <c r="E1300" t="s">
        <v>1967</v>
      </c>
      <c r="F1300" t="s">
        <v>1968</v>
      </c>
    </row>
    <row r="1301" spans="1:7" x14ac:dyDescent="0.2">
      <c r="D1301" t="s">
        <v>76</v>
      </c>
      <c r="E1301" t="s">
        <v>1967</v>
      </c>
      <c r="F1301" t="s">
        <v>1968</v>
      </c>
    </row>
    <row r="1302" spans="1:7" x14ac:dyDescent="0.2">
      <c r="D1302" t="s">
        <v>81</v>
      </c>
      <c r="E1302" t="s">
        <v>1967</v>
      </c>
      <c r="F1302" t="s">
        <v>1968</v>
      </c>
    </row>
    <row r="1303" spans="1:7" x14ac:dyDescent="0.2">
      <c r="D1303" t="s">
        <v>85</v>
      </c>
      <c r="E1303" t="s">
        <v>1967</v>
      </c>
      <c r="F1303" t="s">
        <v>1968</v>
      </c>
    </row>
    <row r="1304" spans="1:7" x14ac:dyDescent="0.2">
      <c r="C1304" t="s">
        <v>1706</v>
      </c>
      <c r="D1304" t="s">
        <v>74</v>
      </c>
      <c r="E1304" t="s">
        <v>1967</v>
      </c>
      <c r="F1304" t="s">
        <v>1968</v>
      </c>
    </row>
    <row r="1305" spans="1:7" x14ac:dyDescent="0.2">
      <c r="D1305" t="s">
        <v>76</v>
      </c>
      <c r="E1305" t="s">
        <v>1967</v>
      </c>
      <c r="F1305" t="s">
        <v>1968</v>
      </c>
    </row>
    <row r="1306" spans="1:7" x14ac:dyDescent="0.2">
      <c r="D1306" t="s">
        <v>81</v>
      </c>
      <c r="E1306" t="s">
        <v>1967</v>
      </c>
      <c r="F1306" t="s">
        <v>1968</v>
      </c>
    </row>
    <row r="1307" spans="1:7" ht="16" thickBot="1" x14ac:dyDescent="0.25">
      <c r="A1307" s="26"/>
      <c r="B1307" s="26"/>
      <c r="C1307" s="26"/>
      <c r="D1307" s="26" t="s">
        <v>85</v>
      </c>
      <c r="E1307" s="26" t="s">
        <v>1967</v>
      </c>
      <c r="F1307" s="26" t="s">
        <v>1968</v>
      </c>
      <c r="G1307" s="26"/>
    </row>
    <row r="1308" spans="1:7" ht="16" thickBot="1" x14ac:dyDescent="0.25">
      <c r="A1308" s="30" t="s">
        <v>197</v>
      </c>
      <c r="B1308" s="30" t="s">
        <v>1707</v>
      </c>
      <c r="C1308" s="30" t="s">
        <v>1708</v>
      </c>
      <c r="D1308" s="30" t="s">
        <v>81</v>
      </c>
      <c r="E1308" s="30" t="s">
        <v>1969</v>
      </c>
      <c r="F1308" s="30" t="s">
        <v>1797</v>
      </c>
      <c r="G1308" s="30"/>
    </row>
    <row r="1309" spans="1:7" ht="16" x14ac:dyDescent="0.2">
      <c r="A1309" s="15" t="s">
        <v>1711</v>
      </c>
      <c r="B1309" t="s">
        <v>1712</v>
      </c>
      <c r="C1309" t="s">
        <v>231</v>
      </c>
      <c r="D1309" t="s">
        <v>73</v>
      </c>
      <c r="E1309" t="s">
        <v>1970</v>
      </c>
      <c r="F1309" t="s">
        <v>1792</v>
      </c>
    </row>
    <row r="1310" spans="1:7" x14ac:dyDescent="0.2">
      <c r="D1310" t="s">
        <v>74</v>
      </c>
      <c r="E1310" t="s">
        <v>1971</v>
      </c>
      <c r="F1310" t="s">
        <v>1792</v>
      </c>
    </row>
    <row r="1311" spans="1:7" x14ac:dyDescent="0.2">
      <c r="D1311" t="s">
        <v>75</v>
      </c>
      <c r="E1311" t="s">
        <v>1972</v>
      </c>
      <c r="F1311" t="s">
        <v>1802</v>
      </c>
    </row>
    <row r="1312" spans="1:7" x14ac:dyDescent="0.2">
      <c r="D1312" t="s">
        <v>77</v>
      </c>
      <c r="E1312" t="s">
        <v>1973</v>
      </c>
      <c r="F1312" t="s">
        <v>1802</v>
      </c>
    </row>
    <row r="1313" spans="1:7" x14ac:dyDescent="0.2">
      <c r="D1313" t="s">
        <v>78</v>
      </c>
      <c r="E1313" t="s">
        <v>1974</v>
      </c>
      <c r="F1313" t="s">
        <v>1802</v>
      </c>
    </row>
    <row r="1314" spans="1:7" x14ac:dyDescent="0.2">
      <c r="D1314" t="s">
        <v>79</v>
      </c>
      <c r="E1314" t="s">
        <v>1975</v>
      </c>
      <c r="F1314" t="s">
        <v>1837</v>
      </c>
    </row>
    <row r="1315" spans="1:7" x14ac:dyDescent="0.2">
      <c r="D1315" t="s">
        <v>12</v>
      </c>
      <c r="E1315" t="s">
        <v>1860</v>
      </c>
      <c r="F1315" t="s">
        <v>1792</v>
      </c>
    </row>
    <row r="1316" spans="1:7" x14ac:dyDescent="0.2">
      <c r="D1316" t="s">
        <v>82</v>
      </c>
      <c r="E1316" t="s">
        <v>1976</v>
      </c>
      <c r="F1316" t="s">
        <v>1802</v>
      </c>
    </row>
    <row r="1317" spans="1:7" ht="16" thickBot="1" x14ac:dyDescent="0.25">
      <c r="A1317" s="26"/>
      <c r="B1317" s="26"/>
      <c r="C1317" s="26"/>
      <c r="D1317" s="26" t="s">
        <v>87</v>
      </c>
      <c r="E1317" s="26" t="s">
        <v>1971</v>
      </c>
      <c r="F1317" s="26" t="s">
        <v>1792</v>
      </c>
      <c r="G1317" s="26"/>
    </row>
    <row r="1318" spans="1:7" x14ac:dyDescent="0.2">
      <c r="A1318" t="s">
        <v>1725</v>
      </c>
      <c r="B1318" t="s">
        <v>1726</v>
      </c>
      <c r="C1318" t="s">
        <v>1727</v>
      </c>
      <c r="D1318" t="s">
        <v>85</v>
      </c>
      <c r="E1318" t="s">
        <v>1977</v>
      </c>
      <c r="F1318" t="s">
        <v>1978</v>
      </c>
    </row>
    <row r="1319" spans="1:7" x14ac:dyDescent="0.2">
      <c r="C1319" t="s">
        <v>1728</v>
      </c>
      <c r="D1319" t="s">
        <v>73</v>
      </c>
      <c r="E1319" t="s">
        <v>1977</v>
      </c>
      <c r="F1319" t="s">
        <v>1978</v>
      </c>
    </row>
    <row r="1320" spans="1:7" x14ac:dyDescent="0.2">
      <c r="D1320" t="s">
        <v>84</v>
      </c>
      <c r="E1320" t="s">
        <v>1977</v>
      </c>
      <c r="F1320" t="s">
        <v>1978</v>
      </c>
    </row>
    <row r="1321" spans="1:7" x14ac:dyDescent="0.2">
      <c r="D1321" t="s">
        <v>85</v>
      </c>
      <c r="E1321" t="s">
        <v>1977</v>
      </c>
      <c r="F1321" t="s">
        <v>1978</v>
      </c>
    </row>
    <row r="1322" spans="1:7" x14ac:dyDescent="0.2">
      <c r="D1322" t="s">
        <v>88</v>
      </c>
      <c r="E1322" t="s">
        <v>1977</v>
      </c>
      <c r="F1322" t="s">
        <v>1978</v>
      </c>
    </row>
    <row r="1323" spans="1:7" x14ac:dyDescent="0.2">
      <c r="C1323" t="s">
        <v>1729</v>
      </c>
      <c r="D1323" t="s">
        <v>84</v>
      </c>
      <c r="E1323" t="s">
        <v>1977</v>
      </c>
      <c r="F1323" t="s">
        <v>1978</v>
      </c>
    </row>
    <row r="1324" spans="1:7" x14ac:dyDescent="0.2">
      <c r="D1324" t="s">
        <v>85</v>
      </c>
      <c r="E1324" t="s">
        <v>1977</v>
      </c>
      <c r="F1324" t="s">
        <v>1978</v>
      </c>
    </row>
    <row r="1325" spans="1:7" x14ac:dyDescent="0.2">
      <c r="D1325" t="s">
        <v>88</v>
      </c>
      <c r="E1325" t="s">
        <v>1977</v>
      </c>
      <c r="F1325" t="s">
        <v>1978</v>
      </c>
    </row>
    <row r="1326" spans="1:7" x14ac:dyDescent="0.2">
      <c r="C1326" t="s">
        <v>1730</v>
      </c>
      <c r="D1326" t="s">
        <v>73</v>
      </c>
      <c r="E1326" t="s">
        <v>1977</v>
      </c>
      <c r="F1326" t="s">
        <v>1978</v>
      </c>
    </row>
    <row r="1327" spans="1:7" x14ac:dyDescent="0.2">
      <c r="D1327" t="s">
        <v>85</v>
      </c>
      <c r="E1327" t="s">
        <v>1977</v>
      </c>
      <c r="F1327" t="s">
        <v>1978</v>
      </c>
    </row>
    <row r="1328" spans="1:7" x14ac:dyDescent="0.2">
      <c r="C1328" t="s">
        <v>1731</v>
      </c>
      <c r="D1328" t="s">
        <v>84</v>
      </c>
      <c r="E1328" t="s">
        <v>1977</v>
      </c>
      <c r="F1328" t="s">
        <v>1978</v>
      </c>
    </row>
    <row r="1329" spans="1:7" x14ac:dyDescent="0.2">
      <c r="C1329" t="s">
        <v>1732</v>
      </c>
      <c r="D1329" t="s">
        <v>85</v>
      </c>
      <c r="E1329" t="s">
        <v>1977</v>
      </c>
      <c r="F1329" t="s">
        <v>1978</v>
      </c>
    </row>
    <row r="1330" spans="1:7" x14ac:dyDescent="0.2">
      <c r="C1330" t="s">
        <v>1733</v>
      </c>
      <c r="D1330" t="s">
        <v>85</v>
      </c>
      <c r="E1330" t="s">
        <v>1977</v>
      </c>
      <c r="F1330" t="s">
        <v>1978</v>
      </c>
    </row>
    <row r="1331" spans="1:7" x14ac:dyDescent="0.2">
      <c r="C1331" t="s">
        <v>1734</v>
      </c>
      <c r="D1331" t="s">
        <v>84</v>
      </c>
      <c r="E1331" t="s">
        <v>1977</v>
      </c>
      <c r="F1331" t="s">
        <v>1978</v>
      </c>
    </row>
    <row r="1332" spans="1:7" x14ac:dyDescent="0.2">
      <c r="D1332" t="s">
        <v>85</v>
      </c>
      <c r="E1332" t="s">
        <v>1977</v>
      </c>
      <c r="F1332" t="s">
        <v>1978</v>
      </c>
    </row>
    <row r="1333" spans="1:7" x14ac:dyDescent="0.2">
      <c r="C1333" t="s">
        <v>1735</v>
      </c>
      <c r="D1333" t="s">
        <v>85</v>
      </c>
      <c r="E1333" t="s">
        <v>1977</v>
      </c>
      <c r="F1333" t="s">
        <v>1978</v>
      </c>
    </row>
    <row r="1334" spans="1:7" ht="16" thickBot="1" x14ac:dyDescent="0.25">
      <c r="A1334" s="26"/>
      <c r="B1334" s="26"/>
      <c r="C1334" s="26"/>
      <c r="D1334" s="26" t="s">
        <v>88</v>
      </c>
      <c r="E1334" s="26" t="s">
        <v>1977</v>
      </c>
      <c r="F1334" s="26" t="s">
        <v>1978</v>
      </c>
      <c r="G1334" s="26"/>
    </row>
    <row r="1335" spans="1:7" x14ac:dyDescent="0.2">
      <c r="A1335" t="s">
        <v>1736</v>
      </c>
      <c r="B1335" t="s">
        <v>1737</v>
      </c>
      <c r="C1335" t="s">
        <v>1740</v>
      </c>
      <c r="D1335" t="s">
        <v>72</v>
      </c>
      <c r="E1335" t="s">
        <v>1952</v>
      </c>
      <c r="F1335" t="s">
        <v>1837</v>
      </c>
    </row>
    <row r="1336" spans="1:7" x14ac:dyDescent="0.2">
      <c r="D1336" t="s">
        <v>12</v>
      </c>
      <c r="E1336" t="s">
        <v>1952</v>
      </c>
      <c r="F1336" t="s">
        <v>1837</v>
      </c>
    </row>
    <row r="1337" spans="1:7" x14ac:dyDescent="0.2">
      <c r="D1337" t="s">
        <v>81</v>
      </c>
      <c r="E1337" t="s">
        <v>1952</v>
      </c>
      <c r="F1337" t="s">
        <v>1837</v>
      </c>
    </row>
    <row r="1338" spans="1:7" ht="16" thickBot="1" x14ac:dyDescent="0.25">
      <c r="A1338" s="26"/>
      <c r="B1338" s="26"/>
      <c r="C1338" s="26"/>
      <c r="D1338" s="26" t="s">
        <v>86</v>
      </c>
      <c r="E1338" s="26" t="s">
        <v>1979</v>
      </c>
      <c r="F1338" s="26" t="s">
        <v>1980</v>
      </c>
      <c r="G1338" s="26"/>
    </row>
    <row r="1339" spans="1:7" ht="16" thickBot="1" x14ac:dyDescent="0.25">
      <c r="A1339" s="30" t="s">
        <v>1741</v>
      </c>
      <c r="B1339" s="30" t="s">
        <v>1737</v>
      </c>
      <c r="C1339" s="30" t="s">
        <v>1742</v>
      </c>
      <c r="D1339" s="30" t="s">
        <v>75</v>
      </c>
      <c r="E1339" s="30" t="s">
        <v>1964</v>
      </c>
      <c r="F1339" s="30" t="s">
        <v>1802</v>
      </c>
      <c r="G1339" s="30"/>
    </row>
    <row r="1340" spans="1:7" ht="16" thickBot="1" x14ac:dyDescent="0.25">
      <c r="A1340" s="30" t="s">
        <v>1744</v>
      </c>
      <c r="B1340" s="30" t="s">
        <v>1745</v>
      </c>
      <c r="C1340" s="30" t="s">
        <v>1746</v>
      </c>
      <c r="D1340" s="30" t="s">
        <v>75</v>
      </c>
      <c r="E1340" s="30" t="s">
        <v>1964</v>
      </c>
      <c r="F1340" s="30" t="s">
        <v>1802</v>
      </c>
      <c r="G1340" s="30"/>
    </row>
    <row r="1341" spans="1:7" x14ac:dyDescent="0.2">
      <c r="A1341" t="s">
        <v>1747</v>
      </c>
      <c r="B1341" t="s">
        <v>1093</v>
      </c>
      <c r="C1341" t="s">
        <v>1748</v>
      </c>
      <c r="D1341" t="s">
        <v>72</v>
      </c>
      <c r="E1341" t="s">
        <v>1981</v>
      </c>
      <c r="F1341" t="s">
        <v>1980</v>
      </c>
    </row>
    <row r="1342" spans="1:7" x14ac:dyDescent="0.2">
      <c r="D1342" t="s">
        <v>77</v>
      </c>
      <c r="E1342" t="s">
        <v>1981</v>
      </c>
      <c r="F1342" t="s">
        <v>1980</v>
      </c>
    </row>
    <row r="1343" spans="1:7" x14ac:dyDescent="0.2">
      <c r="D1343" t="s">
        <v>79</v>
      </c>
      <c r="E1343" t="s">
        <v>1981</v>
      </c>
      <c r="F1343" t="s">
        <v>1980</v>
      </c>
    </row>
    <row r="1344" spans="1:7" x14ac:dyDescent="0.2">
      <c r="D1344" t="s">
        <v>75</v>
      </c>
      <c r="E1344" t="s">
        <v>1982</v>
      </c>
      <c r="F1344" t="s">
        <v>1983</v>
      </c>
    </row>
    <row r="1345" spans="3:6" x14ac:dyDescent="0.2">
      <c r="D1345" t="s">
        <v>78</v>
      </c>
      <c r="E1345" t="s">
        <v>1982</v>
      </c>
      <c r="F1345" t="s">
        <v>1983</v>
      </c>
    </row>
    <row r="1346" spans="3:6" x14ac:dyDescent="0.2">
      <c r="D1346" t="s">
        <v>85</v>
      </c>
      <c r="E1346" t="s">
        <v>1982</v>
      </c>
      <c r="F1346" t="s">
        <v>1983</v>
      </c>
    </row>
    <row r="1347" spans="3:6" x14ac:dyDescent="0.2">
      <c r="C1347" t="s">
        <v>1749</v>
      </c>
      <c r="D1347" t="s">
        <v>72</v>
      </c>
      <c r="E1347" t="s">
        <v>1981</v>
      </c>
      <c r="F1347" t="s">
        <v>1980</v>
      </c>
    </row>
    <row r="1348" spans="3:6" x14ac:dyDescent="0.2">
      <c r="D1348" t="s">
        <v>77</v>
      </c>
      <c r="E1348" t="s">
        <v>1981</v>
      </c>
      <c r="F1348" t="s">
        <v>1980</v>
      </c>
    </row>
    <row r="1349" spans="3:6" x14ac:dyDescent="0.2">
      <c r="D1349" t="s">
        <v>79</v>
      </c>
      <c r="E1349" t="s">
        <v>1981</v>
      </c>
      <c r="F1349" t="s">
        <v>1980</v>
      </c>
    </row>
    <row r="1350" spans="3:6" x14ac:dyDescent="0.2">
      <c r="D1350" t="s">
        <v>75</v>
      </c>
      <c r="E1350" t="s">
        <v>1982</v>
      </c>
      <c r="F1350" t="s">
        <v>1983</v>
      </c>
    </row>
    <row r="1351" spans="3:6" x14ac:dyDescent="0.2">
      <c r="D1351" t="s">
        <v>78</v>
      </c>
      <c r="E1351" t="s">
        <v>1982</v>
      </c>
      <c r="F1351" t="s">
        <v>1983</v>
      </c>
    </row>
    <row r="1352" spans="3:6" x14ac:dyDescent="0.2">
      <c r="D1352" t="s">
        <v>85</v>
      </c>
      <c r="E1352" t="s">
        <v>1982</v>
      </c>
      <c r="F1352" t="s">
        <v>1983</v>
      </c>
    </row>
    <row r="1353" spans="3:6" x14ac:dyDescent="0.2">
      <c r="C1353" t="s">
        <v>1750</v>
      </c>
      <c r="D1353" t="s">
        <v>72</v>
      </c>
      <c r="E1353" t="s">
        <v>1981</v>
      </c>
      <c r="F1353" t="s">
        <v>1980</v>
      </c>
    </row>
    <row r="1354" spans="3:6" x14ac:dyDescent="0.2">
      <c r="D1354" t="s">
        <v>77</v>
      </c>
      <c r="E1354" t="s">
        <v>1981</v>
      </c>
      <c r="F1354" t="s">
        <v>1980</v>
      </c>
    </row>
    <row r="1355" spans="3:6" x14ac:dyDescent="0.2">
      <c r="D1355" t="s">
        <v>79</v>
      </c>
      <c r="E1355" t="s">
        <v>1981</v>
      </c>
      <c r="F1355" t="s">
        <v>1980</v>
      </c>
    </row>
    <row r="1356" spans="3:6" x14ac:dyDescent="0.2">
      <c r="D1356" t="s">
        <v>85</v>
      </c>
      <c r="E1356" t="s">
        <v>1982</v>
      </c>
      <c r="F1356" t="s">
        <v>1983</v>
      </c>
    </row>
    <row r="1357" spans="3:6" x14ac:dyDescent="0.2">
      <c r="C1357" t="s">
        <v>1751</v>
      </c>
      <c r="D1357" t="s">
        <v>72</v>
      </c>
      <c r="E1357" t="s">
        <v>1981</v>
      </c>
      <c r="F1357" t="s">
        <v>1980</v>
      </c>
    </row>
    <row r="1358" spans="3:6" x14ac:dyDescent="0.2">
      <c r="D1358" t="s">
        <v>77</v>
      </c>
      <c r="E1358" t="s">
        <v>1981</v>
      </c>
      <c r="F1358" t="s">
        <v>1980</v>
      </c>
    </row>
    <row r="1359" spans="3:6" x14ac:dyDescent="0.2">
      <c r="D1359" t="s">
        <v>79</v>
      </c>
      <c r="E1359" t="s">
        <v>1981</v>
      </c>
      <c r="F1359" t="s">
        <v>1980</v>
      </c>
    </row>
    <row r="1360" spans="3:6" x14ac:dyDescent="0.2">
      <c r="D1360" t="s">
        <v>85</v>
      </c>
      <c r="E1360" t="s">
        <v>1982</v>
      </c>
      <c r="F1360" t="s">
        <v>1983</v>
      </c>
    </row>
    <row r="1361" spans="3:6" x14ac:dyDescent="0.2">
      <c r="C1361" t="s">
        <v>1752</v>
      </c>
      <c r="D1361" t="s">
        <v>72</v>
      </c>
      <c r="E1361" t="s">
        <v>1981</v>
      </c>
      <c r="F1361" t="s">
        <v>1980</v>
      </c>
    </row>
    <row r="1362" spans="3:6" x14ac:dyDescent="0.2">
      <c r="D1362" t="s">
        <v>77</v>
      </c>
      <c r="E1362" t="s">
        <v>1981</v>
      </c>
      <c r="F1362" t="s">
        <v>1980</v>
      </c>
    </row>
    <row r="1363" spans="3:6" x14ac:dyDescent="0.2">
      <c r="D1363" t="s">
        <v>79</v>
      </c>
      <c r="E1363" t="s">
        <v>1981</v>
      </c>
      <c r="F1363" t="s">
        <v>1980</v>
      </c>
    </row>
    <row r="1364" spans="3:6" x14ac:dyDescent="0.2">
      <c r="D1364" t="s">
        <v>75</v>
      </c>
      <c r="E1364" t="s">
        <v>1982</v>
      </c>
      <c r="F1364" t="s">
        <v>1983</v>
      </c>
    </row>
    <row r="1365" spans="3:6" x14ac:dyDescent="0.2">
      <c r="D1365" t="s">
        <v>85</v>
      </c>
      <c r="E1365" t="s">
        <v>1982</v>
      </c>
      <c r="F1365" t="s">
        <v>1983</v>
      </c>
    </row>
    <row r="1366" spans="3:6" x14ac:dyDescent="0.2">
      <c r="C1366" t="s">
        <v>1753</v>
      </c>
      <c r="D1366" t="s">
        <v>72</v>
      </c>
      <c r="E1366" t="s">
        <v>1981</v>
      </c>
      <c r="F1366" t="s">
        <v>1980</v>
      </c>
    </row>
    <row r="1367" spans="3:6" x14ac:dyDescent="0.2">
      <c r="D1367" t="s">
        <v>77</v>
      </c>
      <c r="E1367" t="s">
        <v>1981</v>
      </c>
      <c r="F1367" t="s">
        <v>1980</v>
      </c>
    </row>
    <row r="1368" spans="3:6" x14ac:dyDescent="0.2">
      <c r="D1368" t="s">
        <v>79</v>
      </c>
      <c r="E1368" t="s">
        <v>1981</v>
      </c>
      <c r="F1368" t="s">
        <v>1980</v>
      </c>
    </row>
    <row r="1369" spans="3:6" x14ac:dyDescent="0.2">
      <c r="D1369" t="s">
        <v>73</v>
      </c>
      <c r="E1369" t="s">
        <v>1982</v>
      </c>
      <c r="F1369" t="s">
        <v>1983</v>
      </c>
    </row>
    <row r="1370" spans="3:6" x14ac:dyDescent="0.2">
      <c r="D1370" t="s">
        <v>78</v>
      </c>
      <c r="E1370" t="s">
        <v>1982</v>
      </c>
      <c r="F1370" t="s">
        <v>1983</v>
      </c>
    </row>
    <row r="1371" spans="3:6" x14ac:dyDescent="0.2">
      <c r="D1371" t="s">
        <v>88</v>
      </c>
      <c r="E1371" t="s">
        <v>1982</v>
      </c>
      <c r="F1371" t="s">
        <v>1983</v>
      </c>
    </row>
    <row r="1372" spans="3:6" x14ac:dyDescent="0.2">
      <c r="D1372" t="s">
        <v>83</v>
      </c>
      <c r="E1372" t="s">
        <v>1982</v>
      </c>
      <c r="F1372" t="s">
        <v>1983</v>
      </c>
    </row>
    <row r="1373" spans="3:6" x14ac:dyDescent="0.2">
      <c r="D1373" t="s">
        <v>84</v>
      </c>
      <c r="E1373" t="s">
        <v>1982</v>
      </c>
      <c r="F1373" t="s">
        <v>1983</v>
      </c>
    </row>
    <row r="1374" spans="3:6" x14ac:dyDescent="0.2">
      <c r="C1374" t="s">
        <v>1754</v>
      </c>
      <c r="D1374" t="s">
        <v>72</v>
      </c>
      <c r="E1374" t="s">
        <v>1981</v>
      </c>
      <c r="F1374" t="s">
        <v>1980</v>
      </c>
    </row>
    <row r="1375" spans="3:6" x14ac:dyDescent="0.2">
      <c r="D1375" t="s">
        <v>77</v>
      </c>
      <c r="E1375" t="s">
        <v>1981</v>
      </c>
      <c r="F1375" t="s">
        <v>1980</v>
      </c>
    </row>
    <row r="1376" spans="3:6" x14ac:dyDescent="0.2">
      <c r="D1376" t="s">
        <v>79</v>
      </c>
      <c r="E1376" t="s">
        <v>1981</v>
      </c>
      <c r="F1376" t="s">
        <v>1980</v>
      </c>
    </row>
    <row r="1377" spans="3:6" x14ac:dyDescent="0.2">
      <c r="D1377" t="s">
        <v>75</v>
      </c>
      <c r="E1377" t="s">
        <v>1982</v>
      </c>
      <c r="F1377" t="s">
        <v>1983</v>
      </c>
    </row>
    <row r="1378" spans="3:6" x14ac:dyDescent="0.2">
      <c r="D1378" t="s">
        <v>85</v>
      </c>
      <c r="E1378" t="s">
        <v>1982</v>
      </c>
      <c r="F1378" t="s">
        <v>1983</v>
      </c>
    </row>
    <row r="1379" spans="3:6" x14ac:dyDescent="0.2">
      <c r="C1379" t="s">
        <v>1755</v>
      </c>
      <c r="D1379" t="s">
        <v>72</v>
      </c>
      <c r="E1379" t="s">
        <v>1981</v>
      </c>
      <c r="F1379" t="s">
        <v>1980</v>
      </c>
    </row>
    <row r="1380" spans="3:6" x14ac:dyDescent="0.2">
      <c r="D1380" t="s">
        <v>77</v>
      </c>
      <c r="E1380" t="s">
        <v>1981</v>
      </c>
      <c r="F1380" t="s">
        <v>1980</v>
      </c>
    </row>
    <row r="1381" spans="3:6" x14ac:dyDescent="0.2">
      <c r="D1381" t="s">
        <v>79</v>
      </c>
      <c r="E1381" t="s">
        <v>1981</v>
      </c>
      <c r="F1381" t="s">
        <v>1980</v>
      </c>
    </row>
    <row r="1382" spans="3:6" x14ac:dyDescent="0.2">
      <c r="D1382" t="s">
        <v>85</v>
      </c>
      <c r="E1382" t="s">
        <v>1982</v>
      </c>
      <c r="F1382" t="s">
        <v>1983</v>
      </c>
    </row>
    <row r="1383" spans="3:6" x14ac:dyDescent="0.2">
      <c r="C1383" t="s">
        <v>1756</v>
      </c>
      <c r="D1383" t="s">
        <v>72</v>
      </c>
      <c r="E1383" t="s">
        <v>1981</v>
      </c>
      <c r="F1383" t="s">
        <v>1980</v>
      </c>
    </row>
    <row r="1384" spans="3:6" x14ac:dyDescent="0.2">
      <c r="D1384" t="s">
        <v>77</v>
      </c>
      <c r="E1384" t="s">
        <v>1981</v>
      </c>
      <c r="F1384" t="s">
        <v>1980</v>
      </c>
    </row>
    <row r="1385" spans="3:6" x14ac:dyDescent="0.2">
      <c r="D1385" t="s">
        <v>79</v>
      </c>
      <c r="E1385" t="s">
        <v>1981</v>
      </c>
      <c r="F1385" t="s">
        <v>1980</v>
      </c>
    </row>
    <row r="1386" spans="3:6" x14ac:dyDescent="0.2">
      <c r="D1386" t="s">
        <v>85</v>
      </c>
      <c r="E1386" t="s">
        <v>1982</v>
      </c>
      <c r="F1386" t="s">
        <v>1983</v>
      </c>
    </row>
    <row r="1387" spans="3:6" x14ac:dyDescent="0.2">
      <c r="C1387" t="s">
        <v>1757</v>
      </c>
      <c r="D1387" t="s">
        <v>72</v>
      </c>
      <c r="E1387" t="s">
        <v>1981</v>
      </c>
      <c r="F1387" t="s">
        <v>1980</v>
      </c>
    </row>
    <row r="1388" spans="3:6" x14ac:dyDescent="0.2">
      <c r="D1388" t="s">
        <v>77</v>
      </c>
      <c r="E1388" t="s">
        <v>1981</v>
      </c>
      <c r="F1388" t="s">
        <v>1980</v>
      </c>
    </row>
    <row r="1389" spans="3:6" x14ac:dyDescent="0.2">
      <c r="D1389" t="s">
        <v>79</v>
      </c>
      <c r="E1389" t="s">
        <v>1981</v>
      </c>
      <c r="F1389" t="s">
        <v>1980</v>
      </c>
    </row>
    <row r="1390" spans="3:6" x14ac:dyDescent="0.2">
      <c r="D1390" t="s">
        <v>85</v>
      </c>
      <c r="E1390" t="s">
        <v>1982</v>
      </c>
      <c r="F1390" t="s">
        <v>1983</v>
      </c>
    </row>
    <row r="1391" spans="3:6" x14ac:dyDescent="0.2">
      <c r="C1391" t="s">
        <v>1758</v>
      </c>
      <c r="D1391" t="s">
        <v>72</v>
      </c>
      <c r="E1391" t="s">
        <v>1981</v>
      </c>
      <c r="F1391" t="s">
        <v>1980</v>
      </c>
    </row>
    <row r="1392" spans="3:6" x14ac:dyDescent="0.2">
      <c r="D1392" t="s">
        <v>77</v>
      </c>
      <c r="E1392" t="s">
        <v>1981</v>
      </c>
      <c r="F1392" t="s">
        <v>1980</v>
      </c>
    </row>
    <row r="1393" spans="3:7" x14ac:dyDescent="0.2">
      <c r="D1393" t="s">
        <v>79</v>
      </c>
      <c r="E1393" t="s">
        <v>1981</v>
      </c>
      <c r="F1393" t="s">
        <v>1980</v>
      </c>
    </row>
    <row r="1394" spans="3:7" x14ac:dyDescent="0.2">
      <c r="D1394" t="s">
        <v>75</v>
      </c>
      <c r="E1394" t="s">
        <v>1982</v>
      </c>
      <c r="F1394" t="s">
        <v>1983</v>
      </c>
    </row>
    <row r="1395" spans="3:7" x14ac:dyDescent="0.2">
      <c r="D1395" t="s">
        <v>85</v>
      </c>
      <c r="E1395" t="s">
        <v>1982</v>
      </c>
      <c r="F1395" t="s">
        <v>1983</v>
      </c>
    </row>
    <row r="1396" spans="3:7" x14ac:dyDescent="0.2">
      <c r="C1396" t="s">
        <v>1759</v>
      </c>
      <c r="D1396" t="s">
        <v>72</v>
      </c>
      <c r="E1396" t="s">
        <v>1981</v>
      </c>
      <c r="F1396" t="s">
        <v>1980</v>
      </c>
    </row>
    <row r="1397" spans="3:7" x14ac:dyDescent="0.2">
      <c r="D1397" t="s">
        <v>77</v>
      </c>
      <c r="E1397" t="s">
        <v>1981</v>
      </c>
      <c r="F1397" t="s">
        <v>1980</v>
      </c>
    </row>
    <row r="1398" spans="3:7" x14ac:dyDescent="0.2">
      <c r="D1398" t="s">
        <v>79</v>
      </c>
      <c r="E1398" t="s">
        <v>1981</v>
      </c>
      <c r="F1398" t="s">
        <v>1980</v>
      </c>
    </row>
    <row r="1399" spans="3:7" x14ac:dyDescent="0.2">
      <c r="D1399" t="s">
        <v>85</v>
      </c>
      <c r="E1399" t="s">
        <v>1982</v>
      </c>
      <c r="F1399" t="s">
        <v>1983</v>
      </c>
    </row>
    <row r="1400" spans="3:7" x14ac:dyDescent="0.2">
      <c r="C1400" t="s">
        <v>693</v>
      </c>
      <c r="D1400" t="s">
        <v>73</v>
      </c>
      <c r="E1400" t="s">
        <v>1984</v>
      </c>
      <c r="F1400" t="s">
        <v>1837</v>
      </c>
      <c r="G1400" t="s">
        <v>1985</v>
      </c>
    </row>
    <row r="1401" spans="3:7" x14ac:dyDescent="0.2">
      <c r="D1401" t="s">
        <v>78</v>
      </c>
      <c r="E1401" t="s">
        <v>1984</v>
      </c>
      <c r="F1401" t="s">
        <v>1837</v>
      </c>
      <c r="G1401" t="s">
        <v>1985</v>
      </c>
    </row>
    <row r="1402" spans="3:7" x14ac:dyDescent="0.2">
      <c r="D1402" t="s">
        <v>81</v>
      </c>
      <c r="E1402" t="s">
        <v>1984</v>
      </c>
      <c r="F1402" t="s">
        <v>1837</v>
      </c>
      <c r="G1402" t="s">
        <v>1985</v>
      </c>
    </row>
    <row r="1403" spans="3:7" x14ac:dyDescent="0.2">
      <c r="D1403" t="s">
        <v>83</v>
      </c>
      <c r="E1403" t="s">
        <v>1984</v>
      </c>
      <c r="F1403" t="s">
        <v>1837</v>
      </c>
      <c r="G1403" t="s">
        <v>1985</v>
      </c>
    </row>
    <row r="1404" spans="3:7" x14ac:dyDescent="0.2">
      <c r="D1404" t="s">
        <v>85</v>
      </c>
      <c r="E1404" t="s">
        <v>1984</v>
      </c>
      <c r="F1404" t="s">
        <v>1837</v>
      </c>
      <c r="G1404" t="s">
        <v>1985</v>
      </c>
    </row>
    <row r="1405" spans="3:7" x14ac:dyDescent="0.2">
      <c r="D1405" t="s">
        <v>88</v>
      </c>
      <c r="E1405" t="s">
        <v>1984</v>
      </c>
      <c r="F1405" t="s">
        <v>1837</v>
      </c>
      <c r="G1405" t="s">
        <v>1985</v>
      </c>
    </row>
    <row r="1406" spans="3:7" x14ac:dyDescent="0.2">
      <c r="C1406" t="s">
        <v>694</v>
      </c>
      <c r="D1406" t="s">
        <v>78</v>
      </c>
      <c r="E1406" t="s">
        <v>1984</v>
      </c>
      <c r="F1406" t="s">
        <v>1837</v>
      </c>
      <c r="G1406" t="s">
        <v>1985</v>
      </c>
    </row>
    <row r="1407" spans="3:7" x14ac:dyDescent="0.2">
      <c r="D1407" t="s">
        <v>81</v>
      </c>
      <c r="E1407" t="s">
        <v>1984</v>
      </c>
      <c r="F1407" t="s">
        <v>1837</v>
      </c>
      <c r="G1407" t="s">
        <v>1985</v>
      </c>
    </row>
    <row r="1408" spans="3:7" x14ac:dyDescent="0.2">
      <c r="D1408" t="s">
        <v>83</v>
      </c>
      <c r="E1408" t="s">
        <v>1984</v>
      </c>
      <c r="F1408" t="s">
        <v>1837</v>
      </c>
      <c r="G1408" t="s">
        <v>1985</v>
      </c>
    </row>
    <row r="1409" spans="1:7" x14ac:dyDescent="0.2">
      <c r="D1409" t="s">
        <v>86</v>
      </c>
      <c r="E1409" t="s">
        <v>1984</v>
      </c>
      <c r="F1409" t="s">
        <v>1837</v>
      </c>
      <c r="G1409" t="s">
        <v>1985</v>
      </c>
    </row>
    <row r="1410" spans="1:7" x14ac:dyDescent="0.2">
      <c r="C1410" t="s">
        <v>751</v>
      </c>
      <c r="D1410" t="s">
        <v>73</v>
      </c>
      <c r="E1410" t="s">
        <v>1984</v>
      </c>
      <c r="F1410" t="s">
        <v>1837</v>
      </c>
      <c r="G1410" t="s">
        <v>1985</v>
      </c>
    </row>
    <row r="1411" spans="1:7" x14ac:dyDescent="0.2">
      <c r="D1411" t="s">
        <v>78</v>
      </c>
      <c r="E1411" t="s">
        <v>1984</v>
      </c>
      <c r="F1411" t="s">
        <v>1837</v>
      </c>
      <c r="G1411" t="s">
        <v>1985</v>
      </c>
    </row>
    <row r="1412" spans="1:7" x14ac:dyDescent="0.2">
      <c r="D1412" t="s">
        <v>81</v>
      </c>
      <c r="E1412" t="s">
        <v>1984</v>
      </c>
      <c r="F1412" t="s">
        <v>1837</v>
      </c>
      <c r="G1412" t="s">
        <v>1985</v>
      </c>
    </row>
    <row r="1413" spans="1:7" x14ac:dyDescent="0.2">
      <c r="D1413" t="s">
        <v>83</v>
      </c>
      <c r="E1413" t="s">
        <v>1984</v>
      </c>
      <c r="F1413" t="s">
        <v>1837</v>
      </c>
      <c r="G1413" t="s">
        <v>1985</v>
      </c>
    </row>
    <row r="1414" spans="1:7" x14ac:dyDescent="0.2">
      <c r="D1414" t="s">
        <v>85</v>
      </c>
      <c r="E1414" t="s">
        <v>1984</v>
      </c>
      <c r="F1414" t="s">
        <v>1837</v>
      </c>
      <c r="G1414" t="s">
        <v>1985</v>
      </c>
    </row>
    <row r="1415" spans="1:7" x14ac:dyDescent="0.2">
      <c r="D1415" t="s">
        <v>88</v>
      </c>
      <c r="E1415" t="s">
        <v>1984</v>
      </c>
      <c r="F1415" t="s">
        <v>1837</v>
      </c>
      <c r="G1415" t="s">
        <v>1985</v>
      </c>
    </row>
    <row r="1416" spans="1:7" x14ac:dyDescent="0.2">
      <c r="C1416" t="s">
        <v>765</v>
      </c>
      <c r="D1416" t="s">
        <v>73</v>
      </c>
      <c r="E1416" t="s">
        <v>1984</v>
      </c>
      <c r="F1416" t="s">
        <v>1837</v>
      </c>
      <c r="G1416" t="s">
        <v>1985</v>
      </c>
    </row>
    <row r="1417" spans="1:7" x14ac:dyDescent="0.2">
      <c r="D1417" t="s">
        <v>78</v>
      </c>
      <c r="E1417" t="s">
        <v>1984</v>
      </c>
      <c r="F1417" t="s">
        <v>1837</v>
      </c>
      <c r="G1417" t="s">
        <v>1985</v>
      </c>
    </row>
    <row r="1418" spans="1:7" x14ac:dyDescent="0.2">
      <c r="D1418" t="s">
        <v>81</v>
      </c>
      <c r="E1418" t="s">
        <v>1984</v>
      </c>
      <c r="F1418" t="s">
        <v>1837</v>
      </c>
      <c r="G1418" t="s">
        <v>1985</v>
      </c>
    </row>
    <row r="1419" spans="1:7" x14ac:dyDescent="0.2">
      <c r="D1419" t="s">
        <v>83</v>
      </c>
      <c r="E1419" t="s">
        <v>1984</v>
      </c>
      <c r="F1419" t="s">
        <v>1837</v>
      </c>
      <c r="G1419" t="s">
        <v>1985</v>
      </c>
    </row>
    <row r="1420" spans="1:7" x14ac:dyDescent="0.2">
      <c r="D1420" t="s">
        <v>85</v>
      </c>
      <c r="E1420" t="s">
        <v>1984</v>
      </c>
      <c r="F1420" t="s">
        <v>1837</v>
      </c>
      <c r="G1420" t="s">
        <v>1985</v>
      </c>
    </row>
    <row r="1421" spans="1:7" x14ac:dyDescent="0.2">
      <c r="D1421" t="s">
        <v>86</v>
      </c>
      <c r="E1421" t="s">
        <v>1984</v>
      </c>
      <c r="F1421" t="s">
        <v>1837</v>
      </c>
      <c r="G1421" t="s">
        <v>1985</v>
      </c>
    </row>
    <row r="1422" spans="1:7" ht="16" thickBot="1" x14ac:dyDescent="0.25">
      <c r="A1422" s="26"/>
      <c r="B1422" s="26"/>
      <c r="C1422" s="26"/>
      <c r="D1422" s="26" t="s">
        <v>88</v>
      </c>
      <c r="E1422" s="26" t="s">
        <v>1984</v>
      </c>
      <c r="F1422" s="26" t="s">
        <v>1837</v>
      </c>
      <c r="G1422" s="26" t="s">
        <v>1985</v>
      </c>
    </row>
    <row r="1423" spans="1:7" x14ac:dyDescent="0.2">
      <c r="A1423" t="s">
        <v>1764</v>
      </c>
      <c r="B1423" t="s">
        <v>1765</v>
      </c>
      <c r="C1423" t="s">
        <v>1769</v>
      </c>
      <c r="D1423" t="s">
        <v>73</v>
      </c>
      <c r="E1423" t="s">
        <v>1984</v>
      </c>
      <c r="F1423" t="s">
        <v>1837</v>
      </c>
    </row>
    <row r="1424" spans="1:7" x14ac:dyDescent="0.2">
      <c r="C1424" t="s">
        <v>1770</v>
      </c>
      <c r="D1424" t="s">
        <v>73</v>
      </c>
      <c r="E1424" t="s">
        <v>1984</v>
      </c>
      <c r="F1424" t="s">
        <v>1837</v>
      </c>
    </row>
    <row r="1425" spans="1:7" x14ac:dyDescent="0.2">
      <c r="D1425" t="s">
        <v>12</v>
      </c>
      <c r="E1425" t="s">
        <v>1984</v>
      </c>
      <c r="F1425" t="s">
        <v>1837</v>
      </c>
    </row>
    <row r="1426" spans="1:7" x14ac:dyDescent="0.2">
      <c r="C1426" t="s">
        <v>1771</v>
      </c>
      <c r="D1426" t="s">
        <v>73</v>
      </c>
      <c r="E1426" t="s">
        <v>1984</v>
      </c>
      <c r="F1426" t="s">
        <v>1837</v>
      </c>
    </row>
    <row r="1427" spans="1:7" x14ac:dyDescent="0.2">
      <c r="D1427" t="s">
        <v>12</v>
      </c>
      <c r="E1427" t="s">
        <v>1984</v>
      </c>
      <c r="F1427" t="s">
        <v>1837</v>
      </c>
    </row>
    <row r="1428" spans="1:7" x14ac:dyDescent="0.2">
      <c r="C1428" t="s">
        <v>1773</v>
      </c>
      <c r="D1428" t="s">
        <v>73</v>
      </c>
      <c r="E1428" t="s">
        <v>1984</v>
      </c>
      <c r="F1428" t="s">
        <v>1837</v>
      </c>
    </row>
    <row r="1429" spans="1:7" x14ac:dyDescent="0.2">
      <c r="D1429" t="s">
        <v>12</v>
      </c>
      <c r="E1429" t="s">
        <v>1984</v>
      </c>
      <c r="F1429" t="s">
        <v>1837</v>
      </c>
    </row>
    <row r="1430" spans="1:7" x14ac:dyDescent="0.2">
      <c r="C1430" t="s">
        <v>1774</v>
      </c>
      <c r="D1430" t="s">
        <v>73</v>
      </c>
      <c r="E1430" t="s">
        <v>1984</v>
      </c>
      <c r="F1430" t="s">
        <v>1837</v>
      </c>
    </row>
    <row r="1431" spans="1:7" ht="16" thickBot="1" x14ac:dyDescent="0.25">
      <c r="A1431" s="26"/>
      <c r="B1431" s="26"/>
      <c r="C1431" s="26"/>
      <c r="D1431" s="26" t="s">
        <v>12</v>
      </c>
      <c r="E1431" s="26" t="s">
        <v>1984</v>
      </c>
      <c r="F1431" s="26" t="s">
        <v>1837</v>
      </c>
      <c r="G1431" s="26"/>
    </row>
  </sheetData>
  <sheetProtection sheet="1" objects="1" scenarios="1"/>
  <pageMargins left="0.25" right="0.25" top="0.75" bottom="0.75" header="0.3" footer="0.3"/>
  <pageSetup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59999389629810485"/>
  </sheetPr>
  <dimension ref="A1:A10"/>
  <sheetViews>
    <sheetView workbookViewId="0">
      <selection activeCell="A3" sqref="A3"/>
    </sheetView>
  </sheetViews>
  <sheetFormatPr baseColWidth="10" defaultColWidth="8.83203125" defaultRowHeight="15" x14ac:dyDescent="0.2"/>
  <cols>
    <col min="1" max="1" width="44.5" customWidth="1"/>
  </cols>
  <sheetData>
    <row r="1" spans="1:1" x14ac:dyDescent="0.2">
      <c r="A1" t="s">
        <v>1986</v>
      </c>
    </row>
    <row r="2" spans="1:1" x14ac:dyDescent="0.2">
      <c r="A2" s="12" t="s">
        <v>1987</v>
      </c>
    </row>
    <row r="3" spans="1:1" x14ac:dyDescent="0.2">
      <c r="A3" t="s">
        <v>1988</v>
      </c>
    </row>
    <row r="4" spans="1:1" x14ac:dyDescent="0.2">
      <c r="A4" s="14" t="s">
        <v>1989</v>
      </c>
    </row>
    <row r="5" spans="1:1" x14ac:dyDescent="0.2">
      <c r="A5" s="16" t="s">
        <v>1990</v>
      </c>
    </row>
    <row r="6" spans="1:1" x14ac:dyDescent="0.2">
      <c r="A6" t="s">
        <v>1991</v>
      </c>
    </row>
    <row r="7" spans="1:1" x14ac:dyDescent="0.2">
      <c r="A7" s="37" t="s">
        <v>1992</v>
      </c>
    </row>
    <row r="10" spans="1:1" x14ac:dyDescent="0.2">
      <c r="A10" s="21"/>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8034F0314D3A4BAEAACAE33548678F" ma:contentTypeVersion="6" ma:contentTypeDescription="Create a new document." ma:contentTypeScope="" ma:versionID="10444685b1bf8eadb78166c327b57832">
  <xsd:schema xmlns:xsd="http://www.w3.org/2001/XMLSchema" xmlns:xs="http://www.w3.org/2001/XMLSchema" xmlns:p="http://schemas.microsoft.com/office/2006/metadata/properties" xmlns:ns2="f4682aee-8d36-416c-9e4d-bb321b522e97" targetNamespace="http://schemas.microsoft.com/office/2006/metadata/properties" ma:root="true" ma:fieldsID="70a7e1bc5f84682219b5053a302d4a72" ns2:_="">
    <xsd:import namespace="f4682aee-8d36-416c-9e4d-bb321b522e9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682aee-8d36-416c-9e4d-bb321b522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583697-155F-46BA-84F3-5F48E0A7C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682aee-8d36-416c-9e4d-bb321b522e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F9CA2B-1DD0-4856-9EA5-C79BB5AA41C6}">
  <ds:schemaRefs>
    <ds:schemaRef ds:uri="http://schemas.microsoft.com/sharepoint/v3/contenttype/forms"/>
  </ds:schemaRefs>
</ds:datastoreItem>
</file>

<file path=customXml/itemProps3.xml><?xml version="1.0" encoding="utf-8"?>
<ds:datastoreItem xmlns:ds="http://schemas.openxmlformats.org/officeDocument/2006/customXml" ds:itemID="{F7574EAD-2C31-4A98-9858-8EC1812FEF0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Dashboard</vt:lpstr>
      <vt:lpstr>Kaplan Meier</vt:lpstr>
      <vt:lpstr>Outliers</vt:lpstr>
      <vt:lpstr>Settings</vt:lpstr>
      <vt:lpstr>Data Table</vt:lpstr>
      <vt:lpstr>Data qualifier notes</vt:lpstr>
      <vt:lpstr>Notes and Color and symbol KEY</vt:lpstr>
      <vt:lpstr>ALL_DATA</vt:lpstr>
      <vt:lpstr>BOXPLOT_DATA</vt:lpstr>
      <vt:lpstr>COUNTY_DATA</vt:lpstr>
      <vt:lpstr>DETECT_DATA</vt:lpstr>
      <vt:lpstr>Dashboard!Print_Area</vt:lpstr>
      <vt:lpstr>RAW_DATA</vt:lpstr>
      <vt:lpstr>SOIL_DEPTH</vt:lpstr>
    </vt:vector>
  </TitlesOfParts>
  <Manager/>
  <Company>DENR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Kirby, Wade</dc:creator>
  <cp:keywords/>
  <dc:description/>
  <cp:lastModifiedBy>Tim Sharp</cp:lastModifiedBy>
  <cp:revision/>
  <dcterms:created xsi:type="dcterms:W3CDTF">2015-06-24T19:28:34Z</dcterms:created>
  <dcterms:modified xsi:type="dcterms:W3CDTF">2025-08-26T19:25:00Z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0x010100A88034F0314D3A4BAEAACAE33548678F</vt:lpwstr>
  </property>
</Properties>
</file>